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ISK-D\DERSLER\NAME312\LectureNotes-Resistance\"/>
    </mc:Choice>
  </mc:AlternateContent>
  <bookViews>
    <workbookView xWindow="0" yWindow="0" windowWidth="2430" windowHeight="450" activeTab="2"/>
  </bookViews>
  <sheets>
    <sheet name="FormFactor" sheetId="1" r:id="rId1"/>
    <sheet name="ITTC1978 PPM" sheetId="2" r:id="rId2"/>
    <sheet name="Quest-2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3" i="3" l="1"/>
  <c r="G12" i="2"/>
  <c r="L24" i="2"/>
  <c r="N27" i="3" l="1"/>
  <c r="G45" i="3" s="1"/>
  <c r="H45" i="3" s="1"/>
  <c r="M27" i="3"/>
  <c r="X46" i="3"/>
  <c r="X47" i="3"/>
  <c r="X48" i="3"/>
  <c r="X49" i="3"/>
  <c r="X50" i="3"/>
  <c r="X51" i="3"/>
  <c r="X52" i="3"/>
  <c r="X53" i="3"/>
  <c r="X54" i="3"/>
  <c r="X45" i="3"/>
  <c r="V46" i="3"/>
  <c r="W46" i="3" s="1"/>
  <c r="V47" i="3"/>
  <c r="V48" i="3"/>
  <c r="V49" i="3"/>
  <c r="V50" i="3"/>
  <c r="W50" i="3" s="1"/>
  <c r="V51" i="3"/>
  <c r="W51" i="3" s="1"/>
  <c r="V52" i="3"/>
  <c r="V53" i="3"/>
  <c r="W53" i="3" s="1"/>
  <c r="V54" i="3"/>
  <c r="W54" i="3" s="1"/>
  <c r="V45" i="3"/>
  <c r="W45" i="3" s="1"/>
  <c r="W47" i="3"/>
  <c r="W48" i="3"/>
  <c r="W49" i="3"/>
  <c r="W52" i="3"/>
  <c r="U46" i="3"/>
  <c r="U47" i="3"/>
  <c r="U48" i="3"/>
  <c r="U49" i="3"/>
  <c r="U50" i="3"/>
  <c r="U51" i="3"/>
  <c r="U52" i="3"/>
  <c r="U53" i="3"/>
  <c r="U54" i="3"/>
  <c r="U45" i="3"/>
  <c r="S46" i="3"/>
  <c r="S47" i="3"/>
  <c r="S48" i="3"/>
  <c r="S49" i="3"/>
  <c r="S50" i="3"/>
  <c r="S51" i="3"/>
  <c r="S52" i="3"/>
  <c r="S53" i="3"/>
  <c r="S54" i="3"/>
  <c r="S45" i="3"/>
  <c r="N46" i="3"/>
  <c r="N47" i="3"/>
  <c r="N48" i="3"/>
  <c r="N49" i="3"/>
  <c r="N50" i="3"/>
  <c r="N51" i="3"/>
  <c r="N52" i="3"/>
  <c r="N53" i="3"/>
  <c r="N54" i="3"/>
  <c r="N45" i="3"/>
  <c r="M46" i="3"/>
  <c r="M47" i="3"/>
  <c r="M48" i="3"/>
  <c r="M49" i="3"/>
  <c r="M50" i="3"/>
  <c r="M51" i="3"/>
  <c r="M52" i="3"/>
  <c r="M53" i="3"/>
  <c r="M54" i="3"/>
  <c r="M45" i="3"/>
  <c r="L46" i="3"/>
  <c r="L47" i="3"/>
  <c r="L48" i="3"/>
  <c r="L49" i="3"/>
  <c r="L50" i="3"/>
  <c r="L51" i="3"/>
  <c r="L52" i="3"/>
  <c r="L53" i="3"/>
  <c r="L54" i="3"/>
  <c r="L45" i="3"/>
  <c r="H46" i="3"/>
  <c r="H47" i="3"/>
  <c r="H48" i="3"/>
  <c r="H49" i="3"/>
  <c r="H50" i="3"/>
  <c r="H51" i="3"/>
  <c r="H52" i="3"/>
  <c r="H53" i="3"/>
  <c r="H54" i="3"/>
  <c r="G46" i="3"/>
  <c r="G47" i="3"/>
  <c r="G48" i="3"/>
  <c r="G49" i="3"/>
  <c r="G50" i="3"/>
  <c r="G51" i="3"/>
  <c r="G52" i="3"/>
  <c r="G53" i="3"/>
  <c r="G54" i="3"/>
  <c r="F46" i="3"/>
  <c r="F47" i="3"/>
  <c r="F48" i="3"/>
  <c r="F49" i="3"/>
  <c r="F50" i="3"/>
  <c r="F51" i="3"/>
  <c r="F52" i="3"/>
  <c r="F53" i="3"/>
  <c r="F54" i="3"/>
  <c r="F45" i="3"/>
  <c r="E46" i="3"/>
  <c r="E47" i="3"/>
  <c r="E48" i="3"/>
  <c r="E49" i="3"/>
  <c r="E50" i="3"/>
  <c r="E51" i="3"/>
  <c r="E52" i="3"/>
  <c r="E53" i="3"/>
  <c r="E54" i="3"/>
  <c r="E45" i="3"/>
  <c r="D46" i="3"/>
  <c r="K46" i="3" s="1"/>
  <c r="T46" i="3" s="1"/>
  <c r="D47" i="3"/>
  <c r="K47" i="3" s="1"/>
  <c r="T47" i="3" s="1"/>
  <c r="D48" i="3"/>
  <c r="D49" i="3"/>
  <c r="D50" i="3"/>
  <c r="D51" i="3"/>
  <c r="K51" i="3" s="1"/>
  <c r="T51" i="3" s="1"/>
  <c r="D52" i="3"/>
  <c r="D53" i="3"/>
  <c r="D54" i="3"/>
  <c r="D45" i="3"/>
  <c r="C46" i="3"/>
  <c r="C47" i="3"/>
  <c r="C48" i="3"/>
  <c r="C49" i="3"/>
  <c r="C50" i="3"/>
  <c r="C51" i="3"/>
  <c r="C52" i="3"/>
  <c r="C53" i="3"/>
  <c r="C54" i="3"/>
  <c r="C45" i="3"/>
  <c r="B46" i="3"/>
  <c r="B47" i="3"/>
  <c r="B48" i="3"/>
  <c r="B49" i="3"/>
  <c r="B50" i="3"/>
  <c r="B51" i="3"/>
  <c r="B52" i="3"/>
  <c r="B53" i="3"/>
  <c r="B54" i="3"/>
  <c r="B45" i="3"/>
  <c r="K52" i="3"/>
  <c r="T52" i="3" s="1"/>
  <c r="K50" i="3"/>
  <c r="T50" i="3" s="1"/>
  <c r="K49" i="3"/>
  <c r="T49" i="3" s="1"/>
  <c r="K48" i="3"/>
  <c r="T48" i="3" s="1"/>
  <c r="H41" i="3"/>
  <c r="I45" i="3" l="1"/>
  <c r="I47" i="3"/>
  <c r="O47" i="3" s="1"/>
  <c r="Y47" i="3" s="1"/>
  <c r="Z47" i="3" s="1"/>
  <c r="AA47" i="3" s="1"/>
  <c r="I50" i="3"/>
  <c r="O50" i="3" s="1"/>
  <c r="Y50" i="3" s="1"/>
  <c r="K45" i="3"/>
  <c r="T45" i="3" s="1"/>
  <c r="K54" i="3"/>
  <c r="T54" i="3" s="1"/>
  <c r="I54" i="3"/>
  <c r="O54" i="3" s="1"/>
  <c r="Y54" i="3" s="1"/>
  <c r="Z54" i="3" s="1"/>
  <c r="AA54" i="3" s="1"/>
  <c r="K53" i="3"/>
  <c r="T53" i="3" s="1"/>
  <c r="I52" i="3"/>
  <c r="O52" i="3" s="1"/>
  <c r="Y52" i="3" s="1"/>
  <c r="I51" i="3"/>
  <c r="O51" i="3" s="1"/>
  <c r="Y51" i="3" s="1"/>
  <c r="I53" i="3"/>
  <c r="O53" i="3" s="1"/>
  <c r="Y53" i="3" s="1"/>
  <c r="Z53" i="3" s="1"/>
  <c r="AA53" i="3" s="1"/>
  <c r="I46" i="3"/>
  <c r="O46" i="3" s="1"/>
  <c r="Y46" i="3" s="1"/>
  <c r="Z46" i="3" s="1"/>
  <c r="AA46" i="3" s="1"/>
  <c r="I48" i="3"/>
  <c r="O48" i="3" s="1"/>
  <c r="Y48" i="3" s="1"/>
  <c r="Z48" i="3" s="1"/>
  <c r="AA48" i="3" s="1"/>
  <c r="I49" i="3"/>
  <c r="O49" i="3" s="1"/>
  <c r="Y49" i="3" s="1"/>
  <c r="Q35" i="3"/>
  <c r="Q32" i="3"/>
  <c r="Q31" i="3"/>
  <c r="Q27" i="3"/>
  <c r="P30" i="3"/>
  <c r="P31" i="3"/>
  <c r="P35" i="3"/>
  <c r="M30" i="3"/>
  <c r="N30" i="3" s="1"/>
  <c r="M33" i="3"/>
  <c r="N33" i="3" s="1"/>
  <c r="O33" i="3" s="1"/>
  <c r="M34" i="3"/>
  <c r="N34" i="3" s="1"/>
  <c r="L28" i="3"/>
  <c r="L29" i="3"/>
  <c r="L31" i="3"/>
  <c r="L32" i="3"/>
  <c r="L33" i="3"/>
  <c r="L34" i="3"/>
  <c r="O34" i="3" s="1"/>
  <c r="L36" i="3"/>
  <c r="L27" i="3"/>
  <c r="I13" i="3"/>
  <c r="L35" i="3" s="1"/>
  <c r="I12" i="3"/>
  <c r="I11" i="3"/>
  <c r="I10" i="3"/>
  <c r="I6" i="3"/>
  <c r="Q30" i="3" s="1"/>
  <c r="I7" i="3"/>
  <c r="I8" i="3"/>
  <c r="I9" i="3"/>
  <c r="I5" i="3"/>
  <c r="I3" i="3"/>
  <c r="K28" i="3"/>
  <c r="K29" i="3"/>
  <c r="K30" i="3"/>
  <c r="K31" i="3"/>
  <c r="K32" i="3"/>
  <c r="K33" i="3"/>
  <c r="K34" i="3"/>
  <c r="K35" i="3"/>
  <c r="K36" i="3"/>
  <c r="K27" i="3"/>
  <c r="Z50" i="3" l="1"/>
  <c r="AA50" i="3" s="1"/>
  <c r="AB50" i="3" s="1"/>
  <c r="AB48" i="3"/>
  <c r="O45" i="3"/>
  <c r="P45" i="3" s="1"/>
  <c r="Q45" i="3" s="1"/>
  <c r="Z51" i="3"/>
  <c r="AA51" i="3" s="1"/>
  <c r="AB51" i="3" s="1"/>
  <c r="Z49" i="3"/>
  <c r="AA49" i="3" s="1"/>
  <c r="AB49" i="3" s="1"/>
  <c r="Z52" i="3"/>
  <c r="AA52" i="3" s="1"/>
  <c r="AB52" i="3" s="1"/>
  <c r="AB46" i="3"/>
  <c r="AB47" i="3"/>
  <c r="AB54" i="3"/>
  <c r="AB53" i="3"/>
  <c r="P47" i="3"/>
  <c r="Q47" i="3" s="1"/>
  <c r="P46" i="3"/>
  <c r="Q46" i="3" s="1"/>
  <c r="P52" i="3"/>
  <c r="Q52" i="3" s="1"/>
  <c r="L30" i="3"/>
  <c r="O30" i="3" s="1"/>
  <c r="M32" i="3"/>
  <c r="N32" i="3" s="1"/>
  <c r="O32" i="3" s="1"/>
  <c r="P27" i="3"/>
  <c r="P29" i="3"/>
  <c r="Q33" i="3"/>
  <c r="M31" i="3"/>
  <c r="N31" i="3" s="1"/>
  <c r="O31" i="3" s="1"/>
  <c r="P36" i="3"/>
  <c r="P28" i="3"/>
  <c r="Q34" i="3"/>
  <c r="O27" i="3"/>
  <c r="M29" i="3"/>
  <c r="N29" i="3" s="1"/>
  <c r="O29" i="3" s="1"/>
  <c r="P34" i="3"/>
  <c r="Q28" i="3"/>
  <c r="Q36" i="3"/>
  <c r="P53" i="3"/>
  <c r="Q53" i="3" s="1"/>
  <c r="M36" i="3"/>
  <c r="N36" i="3" s="1"/>
  <c r="O36" i="3" s="1"/>
  <c r="P33" i="3"/>
  <c r="Q29" i="3"/>
  <c r="M35" i="3"/>
  <c r="N35" i="3" s="1"/>
  <c r="O35" i="3" s="1"/>
  <c r="M28" i="3"/>
  <c r="N28" i="3" s="1"/>
  <c r="O28" i="3" s="1"/>
  <c r="P32" i="3"/>
  <c r="P54" i="3"/>
  <c r="Q54" i="3" s="1"/>
  <c r="P50" i="3"/>
  <c r="Q50" i="3" s="1"/>
  <c r="P48" i="3"/>
  <c r="Q48" i="3" s="1"/>
  <c r="P51" i="3"/>
  <c r="Q51" i="3" s="1"/>
  <c r="P49" i="3"/>
  <c r="Q49" i="3" s="1"/>
  <c r="Y45" i="3" l="1"/>
  <c r="Z45" i="3" s="1"/>
  <c r="AA45" i="3" s="1"/>
  <c r="AB45" i="3" s="1"/>
  <c r="Y25" i="2"/>
  <c r="Y26" i="2"/>
  <c r="Y27" i="2"/>
  <c r="Y28" i="2"/>
  <c r="Y29" i="2"/>
  <c r="Y30" i="2"/>
  <c r="Y31" i="2"/>
  <c r="Y32" i="2"/>
  <c r="Y33" i="2"/>
  <c r="Y34" i="2"/>
  <c r="Y35" i="2"/>
  <c r="Y36" i="2"/>
  <c r="Y37" i="2"/>
  <c r="Y38" i="2"/>
  <c r="Y39" i="2"/>
  <c r="Y40" i="2"/>
  <c r="Y41" i="2"/>
  <c r="Y42" i="2"/>
  <c r="Y43" i="2"/>
  <c r="Y44" i="2"/>
  <c r="Y24" i="2"/>
  <c r="T25" i="2"/>
  <c r="T26" i="2"/>
  <c r="T27" i="2"/>
  <c r="T28" i="2"/>
  <c r="T29" i="2"/>
  <c r="T30" i="2"/>
  <c r="T31" i="2"/>
  <c r="T32" i="2"/>
  <c r="T33" i="2"/>
  <c r="T34" i="2"/>
  <c r="T35" i="2"/>
  <c r="T36" i="2"/>
  <c r="T37" i="2"/>
  <c r="T38" i="2"/>
  <c r="T39" i="2"/>
  <c r="T40" i="2"/>
  <c r="T41" i="2"/>
  <c r="T42" i="2"/>
  <c r="T43" i="2"/>
  <c r="T44" i="2"/>
  <c r="T24" i="2"/>
  <c r="Q25" i="2"/>
  <c r="Q26" i="2"/>
  <c r="Q27" i="2"/>
  <c r="Q28" i="2"/>
  <c r="Q29" i="2"/>
  <c r="Q30" i="2"/>
  <c r="Q31" i="2"/>
  <c r="Q32" i="2"/>
  <c r="Q33" i="2"/>
  <c r="Q34" i="2"/>
  <c r="Q35" i="2"/>
  <c r="Q36" i="2"/>
  <c r="Q37" i="2"/>
  <c r="Q38" i="2"/>
  <c r="Q39" i="2"/>
  <c r="Q40" i="2"/>
  <c r="Q41" i="2"/>
  <c r="Q42" i="2"/>
  <c r="Q43" i="2"/>
  <c r="Q44" i="2"/>
  <c r="Q24" i="2"/>
  <c r="N35" i="2"/>
  <c r="N34" i="2"/>
  <c r="M25" i="2"/>
  <c r="N25" i="2" s="1"/>
  <c r="M26" i="2"/>
  <c r="N26" i="2" s="1"/>
  <c r="M28" i="2"/>
  <c r="N28" i="2" s="1"/>
  <c r="M29" i="2"/>
  <c r="N29" i="2" s="1"/>
  <c r="M34" i="2"/>
  <c r="M35" i="2"/>
  <c r="M36" i="2"/>
  <c r="N36" i="2" s="1"/>
  <c r="M37" i="2"/>
  <c r="N37" i="2" s="1"/>
  <c r="M38" i="2"/>
  <c r="N38" i="2" s="1"/>
  <c r="M40" i="2"/>
  <c r="N40" i="2" s="1"/>
  <c r="M41" i="2"/>
  <c r="N41" i="2" s="1"/>
  <c r="L25" i="2"/>
  <c r="L26" i="2"/>
  <c r="L27" i="2"/>
  <c r="M27" i="2" s="1"/>
  <c r="N27" i="2" s="1"/>
  <c r="L28" i="2"/>
  <c r="L29" i="2"/>
  <c r="L30" i="2"/>
  <c r="M30" i="2" s="1"/>
  <c r="N30" i="2" s="1"/>
  <c r="L31" i="2"/>
  <c r="M31" i="2" s="1"/>
  <c r="N31" i="2" s="1"/>
  <c r="L32" i="2"/>
  <c r="M32" i="2" s="1"/>
  <c r="N32" i="2" s="1"/>
  <c r="L33" i="2"/>
  <c r="M33" i="2" s="1"/>
  <c r="N33" i="2" s="1"/>
  <c r="L34" i="2"/>
  <c r="L35" i="2"/>
  <c r="L36" i="2"/>
  <c r="L37" i="2"/>
  <c r="L38" i="2"/>
  <c r="L39" i="2"/>
  <c r="M39" i="2" s="1"/>
  <c r="N39" i="2" s="1"/>
  <c r="L40" i="2"/>
  <c r="L41" i="2"/>
  <c r="L42" i="2"/>
  <c r="M42" i="2" s="1"/>
  <c r="N42" i="2" s="1"/>
  <c r="L43" i="2"/>
  <c r="M43" i="2" s="1"/>
  <c r="N43" i="2" s="1"/>
  <c r="L44" i="2"/>
  <c r="M44" i="2" s="1"/>
  <c r="N44" i="2" s="1"/>
  <c r="M24" i="2"/>
  <c r="N24" i="2" s="1"/>
  <c r="H20" i="2"/>
  <c r="G43" i="2"/>
  <c r="H43" i="2" s="1"/>
  <c r="I43" i="2" s="1"/>
  <c r="O43" i="2" s="1"/>
  <c r="P43" i="2" s="1"/>
  <c r="G36" i="2"/>
  <c r="H36" i="2" s="1"/>
  <c r="G35" i="2"/>
  <c r="H35" i="2" s="1"/>
  <c r="I35" i="2" s="1"/>
  <c r="O35" i="2" s="1"/>
  <c r="P35" i="2" s="1"/>
  <c r="G34" i="2"/>
  <c r="H34" i="2" s="1"/>
  <c r="I34" i="2" s="1"/>
  <c r="O34" i="2" s="1"/>
  <c r="P34" i="2" s="1"/>
  <c r="G33" i="2"/>
  <c r="H33" i="2" s="1"/>
  <c r="I33" i="2" s="1"/>
  <c r="O33" i="2" s="1"/>
  <c r="G31" i="2"/>
  <c r="H31" i="2" s="1"/>
  <c r="I31" i="2" s="1"/>
  <c r="O31" i="2" s="1"/>
  <c r="G24" i="2"/>
  <c r="H24" i="2" s="1"/>
  <c r="I24" i="2" s="1"/>
  <c r="O24" i="2" s="1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24" i="2"/>
  <c r="E25" i="2"/>
  <c r="G25" i="2" s="1"/>
  <c r="H25" i="2" s="1"/>
  <c r="I25" i="2" s="1"/>
  <c r="O25" i="2" s="1"/>
  <c r="P25" i="2" s="1"/>
  <c r="E26" i="2"/>
  <c r="G26" i="2" s="1"/>
  <c r="H26" i="2" s="1"/>
  <c r="I26" i="2" s="1"/>
  <c r="O26" i="2" s="1"/>
  <c r="P26" i="2" s="1"/>
  <c r="E27" i="2"/>
  <c r="G27" i="2" s="1"/>
  <c r="H27" i="2" s="1"/>
  <c r="I27" i="2" s="1"/>
  <c r="O27" i="2" s="1"/>
  <c r="P27" i="2" s="1"/>
  <c r="E28" i="2"/>
  <c r="G28" i="2" s="1"/>
  <c r="H28" i="2" s="1"/>
  <c r="I28" i="2" s="1"/>
  <c r="O28" i="2" s="1"/>
  <c r="P28" i="2" s="1"/>
  <c r="E29" i="2"/>
  <c r="G29" i="2" s="1"/>
  <c r="H29" i="2" s="1"/>
  <c r="I29" i="2" s="1"/>
  <c r="O29" i="2" s="1"/>
  <c r="P29" i="2" s="1"/>
  <c r="E30" i="2"/>
  <c r="G30" i="2" s="1"/>
  <c r="H30" i="2" s="1"/>
  <c r="I30" i="2" s="1"/>
  <c r="O30" i="2" s="1"/>
  <c r="P30" i="2" s="1"/>
  <c r="E31" i="2"/>
  <c r="E32" i="2"/>
  <c r="G32" i="2" s="1"/>
  <c r="H32" i="2" s="1"/>
  <c r="I32" i="2" s="1"/>
  <c r="O32" i="2" s="1"/>
  <c r="P32" i="2" s="1"/>
  <c r="E33" i="2"/>
  <c r="E34" i="2"/>
  <c r="E35" i="2"/>
  <c r="E36" i="2"/>
  <c r="E37" i="2"/>
  <c r="G37" i="2" s="1"/>
  <c r="H37" i="2" s="1"/>
  <c r="I37" i="2" s="1"/>
  <c r="O37" i="2" s="1"/>
  <c r="P37" i="2" s="1"/>
  <c r="E38" i="2"/>
  <c r="G38" i="2" s="1"/>
  <c r="H38" i="2" s="1"/>
  <c r="I38" i="2" s="1"/>
  <c r="O38" i="2" s="1"/>
  <c r="E39" i="2"/>
  <c r="G39" i="2" s="1"/>
  <c r="H39" i="2" s="1"/>
  <c r="I39" i="2" s="1"/>
  <c r="O39" i="2" s="1"/>
  <c r="P39" i="2" s="1"/>
  <c r="E40" i="2"/>
  <c r="G40" i="2" s="1"/>
  <c r="H40" i="2" s="1"/>
  <c r="I40" i="2" s="1"/>
  <c r="O40" i="2" s="1"/>
  <c r="E41" i="2"/>
  <c r="G41" i="2" s="1"/>
  <c r="H41" i="2" s="1"/>
  <c r="I41" i="2" s="1"/>
  <c r="O41" i="2" s="1"/>
  <c r="P41" i="2" s="1"/>
  <c r="E42" i="2"/>
  <c r="G42" i="2" s="1"/>
  <c r="H42" i="2" s="1"/>
  <c r="I42" i="2" s="1"/>
  <c r="O42" i="2" s="1"/>
  <c r="P42" i="2" s="1"/>
  <c r="E43" i="2"/>
  <c r="E44" i="2"/>
  <c r="G44" i="2" s="1"/>
  <c r="H44" i="2" s="1"/>
  <c r="I44" i="2" s="1"/>
  <c r="O44" i="2" s="1"/>
  <c r="P44" i="2" s="1"/>
  <c r="E24" i="2"/>
  <c r="D25" i="2"/>
  <c r="K25" i="2" s="1"/>
  <c r="D26" i="2"/>
  <c r="K26" i="2" s="1"/>
  <c r="D27" i="2"/>
  <c r="K27" i="2" s="1"/>
  <c r="D28" i="2"/>
  <c r="K28" i="2" s="1"/>
  <c r="D29" i="2"/>
  <c r="K29" i="2" s="1"/>
  <c r="D30" i="2"/>
  <c r="K30" i="2" s="1"/>
  <c r="D31" i="2"/>
  <c r="K31" i="2" s="1"/>
  <c r="D32" i="2"/>
  <c r="K32" i="2" s="1"/>
  <c r="D33" i="2"/>
  <c r="K33" i="2" s="1"/>
  <c r="D34" i="2"/>
  <c r="K34" i="2" s="1"/>
  <c r="D35" i="2"/>
  <c r="K35" i="2" s="1"/>
  <c r="D36" i="2"/>
  <c r="K36" i="2" s="1"/>
  <c r="D37" i="2"/>
  <c r="K37" i="2" s="1"/>
  <c r="D38" i="2"/>
  <c r="K38" i="2" s="1"/>
  <c r="D39" i="2"/>
  <c r="K39" i="2" s="1"/>
  <c r="D40" i="2"/>
  <c r="K40" i="2" s="1"/>
  <c r="D41" i="2"/>
  <c r="K41" i="2" s="1"/>
  <c r="D42" i="2"/>
  <c r="K42" i="2" s="1"/>
  <c r="D43" i="2"/>
  <c r="K43" i="2" s="1"/>
  <c r="D44" i="2"/>
  <c r="K44" i="2" s="1"/>
  <c r="D24" i="2"/>
  <c r="K24" i="2" s="1"/>
  <c r="S29" i="2" l="1"/>
  <c r="U29" i="2" s="1"/>
  <c r="V29" i="2" s="1"/>
  <c r="W29" i="2" s="1"/>
  <c r="X29" i="2"/>
  <c r="X41" i="2"/>
  <c r="X30" i="2"/>
  <c r="X42" i="2"/>
  <c r="X25" i="2"/>
  <c r="X39" i="2"/>
  <c r="X34" i="2"/>
  <c r="X40" i="2"/>
  <c r="X31" i="2"/>
  <c r="X43" i="2"/>
  <c r="X33" i="2"/>
  <c r="X27" i="2"/>
  <c r="X32" i="2"/>
  <c r="X44" i="2"/>
  <c r="X24" i="2"/>
  <c r="X35" i="2"/>
  <c r="X37" i="2"/>
  <c r="X26" i="2"/>
  <c r="X36" i="2"/>
  <c r="X38" i="2"/>
  <c r="X28" i="2"/>
  <c r="S42" i="2"/>
  <c r="U42" i="2" s="1"/>
  <c r="V42" i="2" s="1"/>
  <c r="W42" i="2" s="1"/>
  <c r="S38" i="2"/>
  <c r="U38" i="2" s="1"/>
  <c r="V38" i="2" s="1"/>
  <c r="W38" i="2" s="1"/>
  <c r="S26" i="2"/>
  <c r="U26" i="2" s="1"/>
  <c r="V26" i="2" s="1"/>
  <c r="W26" i="2" s="1"/>
  <c r="S35" i="2"/>
  <c r="U35" i="2" s="1"/>
  <c r="V35" i="2" s="1"/>
  <c r="W35" i="2" s="1"/>
  <c r="S30" i="2"/>
  <c r="U30" i="2" s="1"/>
  <c r="V30" i="2" s="1"/>
  <c r="W30" i="2" s="1"/>
  <c r="S33" i="2"/>
  <c r="U33" i="2" s="1"/>
  <c r="V33" i="2" s="1"/>
  <c r="W33" i="2" s="1"/>
  <c r="S24" i="2"/>
  <c r="U24" i="2" s="1"/>
  <c r="V24" i="2" s="1"/>
  <c r="W24" i="2" s="1"/>
  <c r="S40" i="2"/>
  <c r="U40" i="2" s="1"/>
  <c r="V40" i="2" s="1"/>
  <c r="W40" i="2" s="1"/>
  <c r="S28" i="2"/>
  <c r="U28" i="2" s="1"/>
  <c r="V28" i="2" s="1"/>
  <c r="W28" i="2" s="1"/>
  <c r="S41" i="2"/>
  <c r="U41" i="2" s="1"/>
  <c r="V41" i="2" s="1"/>
  <c r="W41" i="2" s="1"/>
  <c r="S39" i="2"/>
  <c r="U39" i="2" s="1"/>
  <c r="V39" i="2" s="1"/>
  <c r="W39" i="2" s="1"/>
  <c r="S27" i="2"/>
  <c r="U27" i="2" s="1"/>
  <c r="V27" i="2" s="1"/>
  <c r="W27" i="2" s="1"/>
  <c r="S37" i="2"/>
  <c r="U37" i="2" s="1"/>
  <c r="V37" i="2" s="1"/>
  <c r="W37" i="2" s="1"/>
  <c r="S25" i="2"/>
  <c r="U25" i="2" s="1"/>
  <c r="V25" i="2" s="1"/>
  <c r="W25" i="2" s="1"/>
  <c r="S36" i="2"/>
  <c r="U36" i="2" s="1"/>
  <c r="V36" i="2" s="1"/>
  <c r="W36" i="2" s="1"/>
  <c r="S34" i="2"/>
  <c r="U34" i="2" s="1"/>
  <c r="V34" i="2" s="1"/>
  <c r="W34" i="2" s="1"/>
  <c r="S44" i="2"/>
  <c r="U44" i="2" s="1"/>
  <c r="V44" i="2" s="1"/>
  <c r="W44" i="2" s="1"/>
  <c r="S32" i="2"/>
  <c r="U32" i="2" s="1"/>
  <c r="V32" i="2" s="1"/>
  <c r="W32" i="2" s="1"/>
  <c r="S43" i="2"/>
  <c r="U43" i="2" s="1"/>
  <c r="V43" i="2" s="1"/>
  <c r="W43" i="2" s="1"/>
  <c r="S31" i="2"/>
  <c r="U31" i="2" s="1"/>
  <c r="V31" i="2" s="1"/>
  <c r="W31" i="2" s="1"/>
  <c r="P24" i="2"/>
  <c r="P40" i="2"/>
  <c r="P38" i="2"/>
  <c r="P31" i="2"/>
  <c r="P33" i="2"/>
  <c r="I36" i="2"/>
  <c r="O36" i="2" s="1"/>
  <c r="P36" i="2" s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14" i="1"/>
  <c r="Z26" i="2" l="1"/>
  <c r="AA26" i="2" s="1"/>
  <c r="AB26" i="2" s="1"/>
  <c r="Z38" i="2"/>
  <c r="AA38" i="2" s="1"/>
  <c r="AB38" i="2" s="1"/>
  <c r="Z32" i="2"/>
  <c r="AA32" i="2" s="1"/>
  <c r="AB32" i="2" s="1"/>
  <c r="Z33" i="2"/>
  <c r="AA33" i="2" s="1"/>
  <c r="AB33" i="2" s="1"/>
  <c r="Z27" i="2"/>
  <c r="AA27" i="2" s="1"/>
  <c r="AB27" i="2" s="1"/>
  <c r="Z39" i="2"/>
  <c r="AA39" i="2" s="1"/>
  <c r="AB39" i="2" s="1"/>
  <c r="Z28" i="2"/>
  <c r="AA28" i="2" s="1"/>
  <c r="AB28" i="2" s="1"/>
  <c r="Z40" i="2"/>
  <c r="AA40" i="2" s="1"/>
  <c r="AB40" i="2" s="1"/>
  <c r="Z31" i="2"/>
  <c r="AA31" i="2" s="1"/>
  <c r="AB31" i="2" s="1"/>
  <c r="Z34" i="2"/>
  <c r="AA34" i="2" s="1"/>
  <c r="AB34" i="2" s="1"/>
  <c r="Z35" i="2"/>
  <c r="AA35" i="2" s="1"/>
  <c r="AB35" i="2" s="1"/>
  <c r="Z29" i="2"/>
  <c r="AA29" i="2" s="1"/>
  <c r="AB29" i="2" s="1"/>
  <c r="Z41" i="2"/>
  <c r="AA41" i="2" s="1"/>
  <c r="AB41" i="2" s="1"/>
  <c r="Z42" i="2"/>
  <c r="AA42" i="2" s="1"/>
  <c r="AB42" i="2" s="1"/>
  <c r="Z24" i="2"/>
  <c r="AA24" i="2" s="1"/>
  <c r="AB24" i="2" s="1"/>
  <c r="Z30" i="2"/>
  <c r="AA30" i="2" s="1"/>
  <c r="AB30" i="2" s="1"/>
  <c r="Z43" i="2"/>
  <c r="AA43" i="2" s="1"/>
  <c r="AB43" i="2" s="1"/>
  <c r="Z25" i="2"/>
  <c r="AA25" i="2" s="1"/>
  <c r="AB25" i="2" s="1"/>
  <c r="Z44" i="2"/>
  <c r="AA44" i="2" s="1"/>
  <c r="AB44" i="2" s="1"/>
  <c r="Z36" i="2"/>
  <c r="AA36" i="2" s="1"/>
  <c r="AB36" i="2" s="1"/>
  <c r="Z37" i="2"/>
  <c r="AA37" i="2" s="1"/>
  <c r="AB37" i="2" s="1"/>
</calcChain>
</file>

<file path=xl/comments1.xml><?xml version="1.0" encoding="utf-8"?>
<comments xmlns="http://schemas.openxmlformats.org/spreadsheetml/2006/main">
  <authors>
    <author>GULTEKIN</author>
  </authors>
  <commentList>
    <comment ref="B4" authorId="0" shapeId="0">
      <text>
        <r>
          <rPr>
            <b/>
            <sz val="8"/>
            <color indexed="81"/>
            <rFont val="Tahoma"/>
            <family val="2"/>
            <charset val="162"/>
          </rPr>
          <t>GULTEKIN:</t>
        </r>
        <r>
          <rPr>
            <sz val="8"/>
            <color indexed="81"/>
            <rFont val="Tahoma"/>
            <family val="2"/>
            <charset val="162"/>
          </rPr>
          <t xml:space="preserve">
MODEL ISLAK ALAN  VE DÜMEN ALANI TOPLANARAK YAZILACAK</t>
        </r>
      </text>
    </comment>
    <comment ref="C4" authorId="0" shapeId="0">
      <text>
        <r>
          <rPr>
            <b/>
            <sz val="8"/>
            <color indexed="81"/>
            <rFont val="Tahoma"/>
            <family val="2"/>
            <charset val="162"/>
          </rPr>
          <t>GULTEKIN:</t>
        </r>
        <r>
          <rPr>
            <sz val="8"/>
            <color indexed="81"/>
            <rFont val="Tahoma"/>
            <family val="2"/>
            <charset val="162"/>
          </rPr>
          <t xml:space="preserve">
MODEL ISLAK ALAN  VE DÜMEN ALANI TOPLANARAK YAZILACAK</t>
        </r>
      </text>
    </comment>
  </commentList>
</comments>
</file>

<file path=xl/sharedStrings.xml><?xml version="1.0" encoding="utf-8"?>
<sst xmlns="http://schemas.openxmlformats.org/spreadsheetml/2006/main" count="217" uniqueCount="99">
  <si>
    <t>r</t>
  </si>
  <si>
    <t>g</t>
  </si>
  <si>
    <t>(-)</t>
  </si>
  <si>
    <t>m</t>
  </si>
  <si>
    <r>
      <t>kg/m</t>
    </r>
    <r>
      <rPr>
        <vertAlign val="superscript"/>
        <sz val="11"/>
        <color theme="1"/>
        <rFont val="Calibri"/>
        <family val="2"/>
        <charset val="162"/>
        <scheme val="minor"/>
      </rPr>
      <t>3</t>
    </r>
  </si>
  <si>
    <r>
      <t>m</t>
    </r>
    <r>
      <rPr>
        <vertAlign val="superscript"/>
        <sz val="11"/>
        <color theme="1"/>
        <rFont val="Calibri"/>
        <family val="2"/>
        <charset val="162"/>
        <scheme val="minor"/>
      </rPr>
      <t>2</t>
    </r>
  </si>
  <si>
    <r>
      <t>m/s</t>
    </r>
    <r>
      <rPr>
        <vertAlign val="superscript"/>
        <sz val="11"/>
        <color theme="1"/>
        <rFont val="Calibri"/>
        <family val="2"/>
        <charset val="162"/>
        <scheme val="minor"/>
      </rPr>
      <t>2</t>
    </r>
  </si>
  <si>
    <r>
      <t>m</t>
    </r>
    <r>
      <rPr>
        <vertAlign val="superscript"/>
        <sz val="11"/>
        <color theme="1"/>
        <rFont val="Calibri"/>
        <family val="2"/>
        <charset val="162"/>
        <scheme val="minor"/>
      </rPr>
      <t>2</t>
    </r>
    <r>
      <rPr>
        <sz val="11"/>
        <color theme="1"/>
        <rFont val="Calibri"/>
        <family val="2"/>
        <charset val="162"/>
        <scheme val="minor"/>
      </rPr>
      <t>/s</t>
    </r>
  </si>
  <si>
    <t>(m/s)</t>
  </si>
  <si>
    <t>(Kg)</t>
  </si>
  <si>
    <t>(N)</t>
  </si>
  <si>
    <t>Fn</t>
  </si>
  <si>
    <t>(*1000)</t>
  </si>
  <si>
    <r>
      <t>C</t>
    </r>
    <r>
      <rPr>
        <b/>
        <vertAlign val="subscript"/>
        <sz val="11"/>
        <color theme="1"/>
        <rFont val="Calibri"/>
        <family val="2"/>
        <charset val="162"/>
        <scheme val="minor"/>
      </rPr>
      <t>TM</t>
    </r>
  </si>
  <si>
    <r>
      <t>C</t>
    </r>
    <r>
      <rPr>
        <b/>
        <vertAlign val="subscript"/>
        <sz val="11"/>
        <color theme="1"/>
        <rFont val="Calibri"/>
        <family val="2"/>
        <charset val="162"/>
        <scheme val="minor"/>
      </rPr>
      <t>FM</t>
    </r>
  </si>
  <si>
    <r>
      <t>V</t>
    </r>
    <r>
      <rPr>
        <b/>
        <vertAlign val="subscript"/>
        <sz val="11"/>
        <color theme="1"/>
        <rFont val="Calibri"/>
        <family val="2"/>
        <charset val="162"/>
        <scheme val="minor"/>
      </rPr>
      <t>M</t>
    </r>
  </si>
  <si>
    <r>
      <t>R</t>
    </r>
    <r>
      <rPr>
        <b/>
        <vertAlign val="subscript"/>
        <sz val="11"/>
        <color theme="1"/>
        <rFont val="Calibri"/>
        <family val="2"/>
        <charset val="162"/>
        <scheme val="minor"/>
      </rPr>
      <t>TM</t>
    </r>
  </si>
  <si>
    <r>
      <t>C</t>
    </r>
    <r>
      <rPr>
        <b/>
        <vertAlign val="subscript"/>
        <sz val="11"/>
        <color theme="1"/>
        <rFont val="Calibri"/>
        <family val="2"/>
        <charset val="162"/>
        <scheme val="minor"/>
      </rPr>
      <t>TM</t>
    </r>
    <r>
      <rPr>
        <b/>
        <sz val="11"/>
        <color theme="1"/>
        <rFont val="Calibri"/>
        <family val="2"/>
        <charset val="162"/>
        <scheme val="minor"/>
      </rPr>
      <t>/C</t>
    </r>
    <r>
      <rPr>
        <b/>
        <vertAlign val="subscript"/>
        <sz val="11"/>
        <color theme="1"/>
        <rFont val="Calibri"/>
        <family val="2"/>
        <charset val="162"/>
        <scheme val="minor"/>
      </rPr>
      <t>FM</t>
    </r>
  </si>
  <si>
    <r>
      <t>(*10</t>
    </r>
    <r>
      <rPr>
        <b/>
        <vertAlign val="superscript"/>
        <sz val="11"/>
        <color theme="1"/>
        <rFont val="Calibri"/>
        <family val="2"/>
        <charset val="162"/>
        <scheme val="minor"/>
      </rPr>
      <t>-6</t>
    </r>
    <r>
      <rPr>
        <b/>
        <sz val="11"/>
        <color theme="1"/>
        <rFont val="Calibri"/>
        <family val="2"/>
        <charset val="162"/>
        <scheme val="minor"/>
      </rPr>
      <t>)</t>
    </r>
  </si>
  <si>
    <r>
      <t>Model Deneyi Sırasındaki Tatlı Su Yoğunluğu - kg/m</t>
    </r>
    <r>
      <rPr>
        <vertAlign val="superscript"/>
        <sz val="10"/>
        <rFont val="Arial"/>
        <family val="2"/>
        <charset val="162"/>
      </rPr>
      <t>3</t>
    </r>
  </si>
  <si>
    <r>
      <t>Model Islak Yüzey Alanı - m</t>
    </r>
    <r>
      <rPr>
        <vertAlign val="superscript"/>
        <sz val="10"/>
        <rFont val="Arial"/>
        <family val="2"/>
        <charset val="162"/>
      </rPr>
      <t>2</t>
    </r>
  </si>
  <si>
    <t>Model Su Hattı Boyu - m</t>
  </si>
  <si>
    <r>
      <t>Yalpa Omurgası Alanı - m</t>
    </r>
    <r>
      <rPr>
        <vertAlign val="superscript"/>
        <sz val="10"/>
        <rFont val="Arial"/>
        <family val="2"/>
        <charset val="162"/>
      </rPr>
      <t>2</t>
    </r>
    <r>
      <rPr>
        <sz val="11"/>
        <color theme="1"/>
        <rFont val="Calibri"/>
        <family val="2"/>
        <charset val="162"/>
        <scheme val="minor"/>
      </rPr>
      <t xml:space="preserve"> (Tam Ölçekli Değer)</t>
    </r>
  </si>
  <si>
    <r>
      <t>ITTC 78 Yöntemine Göre Yalpa Omurgası Çarpanı - (S+S</t>
    </r>
    <r>
      <rPr>
        <vertAlign val="subscript"/>
        <sz val="10"/>
        <rFont val="Arial"/>
        <family val="2"/>
        <charset val="162"/>
      </rPr>
      <t>BK</t>
    </r>
    <r>
      <rPr>
        <sz val="11"/>
        <color theme="1"/>
        <rFont val="Calibri"/>
        <family val="2"/>
        <charset val="162"/>
        <scheme val="minor"/>
      </rPr>
      <t>)/S</t>
    </r>
  </si>
  <si>
    <r>
      <t>15 ºC deki Tatlı Su Yoğunluğu - kg/m</t>
    </r>
    <r>
      <rPr>
        <vertAlign val="superscript"/>
        <sz val="10"/>
        <rFont val="Arial"/>
        <family val="2"/>
        <charset val="162"/>
      </rPr>
      <t>3</t>
    </r>
  </si>
  <si>
    <r>
      <t>15 ºC deki Tuzlu Su Yoğunluğu - kg/m</t>
    </r>
    <r>
      <rPr>
        <vertAlign val="superscript"/>
        <sz val="10"/>
        <rFont val="Arial"/>
        <family val="2"/>
        <charset val="162"/>
      </rPr>
      <t>3</t>
    </r>
  </si>
  <si>
    <r>
      <t>15 ºC deki Tatlı Su Kinematik Viskozitesi*10</t>
    </r>
    <r>
      <rPr>
        <vertAlign val="superscript"/>
        <sz val="10"/>
        <rFont val="Arial"/>
        <family val="2"/>
        <charset val="162"/>
      </rPr>
      <t>6</t>
    </r>
    <r>
      <rPr>
        <sz val="11"/>
        <color theme="1"/>
        <rFont val="Calibri"/>
        <family val="2"/>
        <charset val="162"/>
        <scheme val="minor"/>
      </rPr>
      <t xml:space="preserve"> - m</t>
    </r>
    <r>
      <rPr>
        <vertAlign val="superscript"/>
        <sz val="10"/>
        <rFont val="Arial"/>
        <family val="2"/>
        <charset val="162"/>
      </rPr>
      <t>2</t>
    </r>
    <r>
      <rPr>
        <sz val="11"/>
        <color theme="1"/>
        <rFont val="Calibri"/>
        <family val="2"/>
        <charset val="162"/>
        <scheme val="minor"/>
      </rPr>
      <t>/s</t>
    </r>
  </si>
  <si>
    <r>
      <t>15 ºC deki Tuzlu Su Kinematik Viskozitesi*10</t>
    </r>
    <r>
      <rPr>
        <vertAlign val="superscript"/>
        <sz val="10"/>
        <rFont val="Arial"/>
        <family val="2"/>
        <charset val="162"/>
      </rPr>
      <t>6</t>
    </r>
    <r>
      <rPr>
        <sz val="11"/>
        <color theme="1"/>
        <rFont val="Calibri"/>
        <family val="2"/>
        <charset val="162"/>
        <scheme val="minor"/>
      </rPr>
      <t xml:space="preserve"> - m</t>
    </r>
    <r>
      <rPr>
        <vertAlign val="superscript"/>
        <sz val="10"/>
        <rFont val="Arial"/>
        <family val="2"/>
        <charset val="162"/>
      </rPr>
      <t>2</t>
    </r>
    <r>
      <rPr>
        <sz val="11"/>
        <color theme="1"/>
        <rFont val="Calibri"/>
        <family val="2"/>
        <charset val="162"/>
        <scheme val="minor"/>
      </rPr>
      <t>/s</t>
    </r>
  </si>
  <si>
    <r>
      <t xml:space="preserve">Model Ölçeği - </t>
    </r>
    <r>
      <rPr>
        <sz val="10"/>
        <rFont val="Symbol"/>
        <family val="1"/>
        <charset val="2"/>
      </rPr>
      <t>l</t>
    </r>
  </si>
  <si>
    <t>Model Deneyi Sıcaklığı - Tsic</t>
  </si>
  <si>
    <r>
      <t>Yerçekimi İvmesi - g - m/s</t>
    </r>
    <r>
      <rPr>
        <vertAlign val="superscript"/>
        <sz val="11"/>
        <color theme="1"/>
        <rFont val="Calibri"/>
        <family val="2"/>
        <charset val="162"/>
        <scheme val="minor"/>
      </rPr>
      <t>2</t>
    </r>
  </si>
  <si>
    <r>
      <t xml:space="preserve">Model Deneyi Sırasındaki Tatlı Viskozite Değeri - </t>
    </r>
    <r>
      <rPr>
        <sz val="11"/>
        <color theme="1"/>
        <rFont val="Symbol"/>
        <family val="1"/>
        <charset val="2"/>
      </rPr>
      <t>u</t>
    </r>
    <r>
      <rPr>
        <sz val="11"/>
        <color theme="1"/>
        <rFont val="Calibri"/>
        <family val="2"/>
        <charset val="162"/>
      </rPr>
      <t xml:space="preserve"> - m</t>
    </r>
    <r>
      <rPr>
        <vertAlign val="superscript"/>
        <sz val="11"/>
        <color theme="1"/>
        <rFont val="Calibri"/>
        <family val="2"/>
        <charset val="162"/>
      </rPr>
      <t>2</t>
    </r>
    <r>
      <rPr>
        <sz val="11"/>
        <color theme="1"/>
        <rFont val="Calibri"/>
        <family val="2"/>
        <charset val="162"/>
      </rPr>
      <t>/s</t>
    </r>
  </si>
  <si>
    <r>
      <t>Gemi Yüzey Pürüzlülük Değeri - k</t>
    </r>
    <r>
      <rPr>
        <vertAlign val="subscript"/>
        <sz val="11"/>
        <color theme="1"/>
        <rFont val="Calibri"/>
        <family val="2"/>
        <charset val="162"/>
        <scheme val="minor"/>
      </rPr>
      <t xml:space="preserve">s </t>
    </r>
    <r>
      <rPr>
        <sz val="11"/>
        <color theme="1"/>
        <rFont val="Calibri"/>
        <family val="2"/>
        <charset val="162"/>
        <scheme val="minor"/>
      </rPr>
      <t>- Micron</t>
    </r>
  </si>
  <si>
    <t>Belirlenen form faktörü - (1+k)</t>
  </si>
  <si>
    <t>Fr</t>
  </si>
  <si>
    <t>Re</t>
  </si>
  <si>
    <r>
      <t>Fr</t>
    </r>
    <r>
      <rPr>
        <b/>
        <vertAlign val="superscript"/>
        <sz val="11"/>
        <color theme="1"/>
        <rFont val="Calibri"/>
        <family val="2"/>
        <charset val="162"/>
        <scheme val="minor"/>
      </rPr>
      <t>4</t>
    </r>
    <r>
      <rPr>
        <b/>
        <sz val="11"/>
        <color theme="1"/>
        <rFont val="Calibri"/>
        <family val="2"/>
        <charset val="162"/>
        <scheme val="minor"/>
      </rPr>
      <t>/C</t>
    </r>
    <r>
      <rPr>
        <b/>
        <vertAlign val="subscript"/>
        <sz val="11"/>
        <color theme="1"/>
        <rFont val="Calibri"/>
        <family val="2"/>
        <charset val="162"/>
        <scheme val="minor"/>
      </rPr>
      <t>FM</t>
    </r>
  </si>
  <si>
    <r>
      <t>C</t>
    </r>
    <r>
      <rPr>
        <b/>
        <vertAlign val="subscript"/>
        <sz val="11"/>
        <color theme="1"/>
        <rFont val="Calibri"/>
        <family val="2"/>
        <charset val="162"/>
        <scheme val="minor"/>
      </rPr>
      <t>VM</t>
    </r>
  </si>
  <si>
    <r>
      <t>C</t>
    </r>
    <r>
      <rPr>
        <b/>
        <vertAlign val="subscript"/>
        <sz val="11"/>
        <color theme="1"/>
        <rFont val="Calibri"/>
        <family val="2"/>
        <charset val="162"/>
        <scheme val="minor"/>
      </rPr>
      <t>W</t>
    </r>
  </si>
  <si>
    <t>RESULTS OF RESISTANCE TESTS AT TEST TEMPERATURE</t>
  </si>
  <si>
    <r>
      <t>V</t>
    </r>
    <r>
      <rPr>
        <b/>
        <vertAlign val="subscript"/>
        <sz val="11"/>
        <color theme="1"/>
        <rFont val="Calibri"/>
        <family val="2"/>
        <charset val="162"/>
        <scheme val="minor"/>
      </rPr>
      <t>S</t>
    </r>
  </si>
  <si>
    <t>(knots)</t>
  </si>
  <si>
    <r>
      <t>(*10</t>
    </r>
    <r>
      <rPr>
        <b/>
        <vertAlign val="superscript"/>
        <sz val="11"/>
        <color theme="1"/>
        <rFont val="Calibri"/>
        <family val="2"/>
        <charset val="162"/>
        <scheme val="minor"/>
      </rPr>
      <t>-8</t>
    </r>
    <r>
      <rPr>
        <b/>
        <sz val="11"/>
        <color theme="1"/>
        <rFont val="Calibri"/>
        <family val="2"/>
        <charset val="162"/>
        <scheme val="minor"/>
      </rPr>
      <t>)</t>
    </r>
  </si>
  <si>
    <r>
      <rPr>
        <b/>
        <sz val="11"/>
        <color theme="1"/>
        <rFont val="Symbol"/>
        <family val="1"/>
        <charset val="2"/>
      </rPr>
      <t>D</t>
    </r>
    <r>
      <rPr>
        <b/>
        <sz val="11"/>
        <color theme="1"/>
        <rFont val="Calibri"/>
        <family val="2"/>
        <charset val="162"/>
        <scheme val="minor"/>
      </rPr>
      <t>C</t>
    </r>
    <r>
      <rPr>
        <b/>
        <vertAlign val="subscript"/>
        <sz val="11"/>
        <color theme="1"/>
        <rFont val="Calibri"/>
        <family val="2"/>
        <charset val="162"/>
        <scheme val="minor"/>
      </rPr>
      <t>F</t>
    </r>
  </si>
  <si>
    <t>RESULTS OF RESISTANCE TESTS IN MODEL SCALE AT 15 DEGREES</t>
  </si>
  <si>
    <r>
      <t>C</t>
    </r>
    <r>
      <rPr>
        <b/>
        <vertAlign val="subscript"/>
        <sz val="11"/>
        <color theme="1"/>
        <rFont val="Calibri"/>
        <family val="2"/>
        <charset val="162"/>
        <scheme val="minor"/>
      </rPr>
      <t>TS</t>
    </r>
  </si>
  <si>
    <r>
      <t>R</t>
    </r>
    <r>
      <rPr>
        <b/>
        <vertAlign val="subscript"/>
        <sz val="11"/>
        <color theme="1"/>
        <rFont val="Calibri"/>
        <family val="2"/>
        <charset val="162"/>
        <scheme val="minor"/>
      </rPr>
      <t>TS</t>
    </r>
  </si>
  <si>
    <t>(kN)</t>
  </si>
  <si>
    <r>
      <t>P</t>
    </r>
    <r>
      <rPr>
        <b/>
        <vertAlign val="subscript"/>
        <sz val="11"/>
        <color theme="1"/>
        <rFont val="Calibri"/>
        <family val="2"/>
        <charset val="162"/>
        <scheme val="minor"/>
      </rPr>
      <t>E</t>
    </r>
  </si>
  <si>
    <t>(kW)</t>
  </si>
  <si>
    <t>RESULTS OF RESISTANCE TESTS IN SHIP SCALE AT 15 DEGREES</t>
  </si>
  <si>
    <t>DEGREES</t>
  </si>
  <si>
    <t>Lpp</t>
  </si>
  <si>
    <t>Lwl</t>
  </si>
  <si>
    <t>B</t>
  </si>
  <si>
    <t>Length between perpendiculars (m)</t>
  </si>
  <si>
    <t>Length on waterline (m)</t>
  </si>
  <si>
    <t>Breadth Moulded (m)</t>
  </si>
  <si>
    <t>Draft moulded on FP (m)</t>
  </si>
  <si>
    <t>Draft moulded on AP (m)</t>
  </si>
  <si>
    <t>Displacement volume moulded (m3)</t>
  </si>
  <si>
    <t>Displacement weight in salt water (tons)</t>
  </si>
  <si>
    <t>wetted surface without appendages (m2)</t>
  </si>
  <si>
    <t>wetted surface with appendages (m2)</t>
  </si>
  <si>
    <t>TF</t>
  </si>
  <si>
    <t>TA</t>
  </si>
  <si>
    <t>DDD</t>
  </si>
  <si>
    <t>DEP</t>
  </si>
  <si>
    <t xml:space="preserve">Scale ratio </t>
  </si>
  <si>
    <t>l</t>
  </si>
  <si>
    <t>Design speed (knots)</t>
  </si>
  <si>
    <t>VS</t>
  </si>
  <si>
    <t>ship</t>
  </si>
  <si>
    <t>model</t>
  </si>
  <si>
    <t xml:space="preserve"> </t>
  </si>
  <si>
    <t>12.9 derecedeki tatlı su yoğunluk -  KG/M3</t>
  </si>
  <si>
    <t>12.9 derecedeki kinematik viskozite - m2/s</t>
  </si>
  <si>
    <t>u</t>
  </si>
  <si>
    <r>
      <t>(*10</t>
    </r>
    <r>
      <rPr>
        <b/>
        <vertAlign val="superscript"/>
        <sz val="11"/>
        <color theme="1"/>
        <rFont val="Calibri"/>
        <family val="2"/>
        <charset val="162"/>
        <scheme val="minor"/>
      </rPr>
      <t>6</t>
    </r>
    <r>
      <rPr>
        <b/>
        <sz val="11"/>
        <color theme="1"/>
        <rFont val="Calibri"/>
        <family val="2"/>
        <charset val="162"/>
        <scheme val="minor"/>
      </rPr>
      <t>)</t>
    </r>
  </si>
  <si>
    <r>
      <t>Re</t>
    </r>
    <r>
      <rPr>
        <b/>
        <vertAlign val="subscript"/>
        <sz val="11"/>
        <color theme="1"/>
        <rFont val="Calibri"/>
        <family val="2"/>
        <charset val="162"/>
        <scheme val="minor"/>
      </rPr>
      <t>M</t>
    </r>
  </si>
  <si>
    <t>(1+k)</t>
  </si>
  <si>
    <r>
      <t>15 ºC - Fresh water density  - kg/m</t>
    </r>
    <r>
      <rPr>
        <vertAlign val="superscript"/>
        <sz val="10"/>
        <rFont val="Arial"/>
        <family val="2"/>
        <charset val="162"/>
      </rPr>
      <t>3</t>
    </r>
  </si>
  <si>
    <r>
      <t>15 ºC -  Salt water density - kg/m</t>
    </r>
    <r>
      <rPr>
        <vertAlign val="superscript"/>
        <sz val="10"/>
        <rFont val="Arial"/>
        <family val="2"/>
        <charset val="162"/>
      </rPr>
      <t>3</t>
    </r>
  </si>
  <si>
    <r>
      <t>15 ºC - Fresh water kinematik viscosity * 10</t>
    </r>
    <r>
      <rPr>
        <vertAlign val="superscript"/>
        <sz val="10"/>
        <rFont val="Arial"/>
        <family val="2"/>
        <charset val="162"/>
      </rPr>
      <t>6</t>
    </r>
    <r>
      <rPr>
        <sz val="11"/>
        <color theme="1"/>
        <rFont val="Calibri"/>
        <family val="2"/>
        <charset val="162"/>
        <scheme val="minor"/>
      </rPr>
      <t xml:space="preserve"> - m</t>
    </r>
    <r>
      <rPr>
        <vertAlign val="superscript"/>
        <sz val="10"/>
        <rFont val="Arial"/>
        <family val="2"/>
        <charset val="162"/>
      </rPr>
      <t>2</t>
    </r>
    <r>
      <rPr>
        <sz val="11"/>
        <color theme="1"/>
        <rFont val="Calibri"/>
        <family val="2"/>
        <charset val="162"/>
        <scheme val="minor"/>
      </rPr>
      <t>/s</t>
    </r>
  </si>
  <si>
    <r>
      <t>15 ºC  - Salt water kinematik viscosity * 10</t>
    </r>
    <r>
      <rPr>
        <vertAlign val="superscript"/>
        <sz val="10"/>
        <rFont val="Arial"/>
        <family val="2"/>
        <charset val="162"/>
      </rPr>
      <t>6</t>
    </r>
    <r>
      <rPr>
        <sz val="11"/>
        <color theme="1"/>
        <rFont val="Calibri"/>
        <family val="2"/>
        <charset val="162"/>
        <scheme val="minor"/>
      </rPr>
      <t xml:space="preserve"> - m</t>
    </r>
    <r>
      <rPr>
        <vertAlign val="superscript"/>
        <sz val="10"/>
        <rFont val="Arial"/>
        <family val="2"/>
        <charset val="162"/>
      </rPr>
      <t>2</t>
    </r>
    <r>
      <rPr>
        <sz val="11"/>
        <color theme="1"/>
        <rFont val="Calibri"/>
        <family val="2"/>
        <charset val="162"/>
        <scheme val="minor"/>
      </rPr>
      <t>/s</t>
    </r>
  </si>
  <si>
    <r>
      <t>Surface roughness height - k</t>
    </r>
    <r>
      <rPr>
        <vertAlign val="subscript"/>
        <sz val="11"/>
        <color theme="1"/>
        <rFont val="Calibri"/>
        <family val="2"/>
        <charset val="162"/>
        <scheme val="minor"/>
      </rPr>
      <t xml:space="preserve">s </t>
    </r>
    <r>
      <rPr>
        <sz val="11"/>
        <color theme="1"/>
        <rFont val="Calibri"/>
        <family val="2"/>
        <charset val="162"/>
        <scheme val="minor"/>
      </rPr>
      <t>- Micron</t>
    </r>
  </si>
  <si>
    <t>Surface of bilge keel - m2</t>
  </si>
  <si>
    <r>
      <t>Bilge keel multiplier - (S+S</t>
    </r>
    <r>
      <rPr>
        <vertAlign val="subscript"/>
        <sz val="10"/>
        <rFont val="Arial"/>
        <family val="2"/>
        <charset val="162"/>
      </rPr>
      <t>BK</t>
    </r>
    <r>
      <rPr>
        <sz val="11"/>
        <color theme="1"/>
        <rFont val="Calibri"/>
        <family val="2"/>
        <charset val="162"/>
        <scheme val="minor"/>
      </rPr>
      <t>)/S</t>
    </r>
  </si>
  <si>
    <r>
      <t>k</t>
    </r>
    <r>
      <rPr>
        <vertAlign val="subscript"/>
        <sz val="11"/>
        <color theme="1"/>
        <rFont val="Calibri"/>
        <family val="2"/>
        <scheme val="minor"/>
      </rPr>
      <t>S</t>
    </r>
  </si>
  <si>
    <r>
      <t>(S+S</t>
    </r>
    <r>
      <rPr>
        <vertAlign val="subscript"/>
        <sz val="11"/>
        <color theme="1"/>
        <rFont val="Calibri"/>
        <family val="2"/>
        <scheme val="minor"/>
      </rPr>
      <t>BK</t>
    </r>
    <r>
      <rPr>
        <sz val="11"/>
        <color theme="1"/>
        <rFont val="Calibri"/>
        <family val="2"/>
        <charset val="162"/>
        <scheme val="minor"/>
      </rPr>
      <t>)/S</t>
    </r>
  </si>
  <si>
    <r>
      <t>S</t>
    </r>
    <r>
      <rPr>
        <vertAlign val="subscript"/>
        <sz val="11"/>
        <color theme="1"/>
        <rFont val="Calibri"/>
        <family val="2"/>
        <scheme val="minor"/>
      </rPr>
      <t>BG</t>
    </r>
  </si>
  <si>
    <r>
      <t>S</t>
    </r>
    <r>
      <rPr>
        <vertAlign val="subscript"/>
        <sz val="11"/>
        <color theme="1"/>
        <rFont val="Calibri"/>
        <family val="2"/>
        <scheme val="minor"/>
      </rPr>
      <t>1</t>
    </r>
  </si>
  <si>
    <r>
      <t>S</t>
    </r>
    <r>
      <rPr>
        <vertAlign val="subscript"/>
        <sz val="11"/>
        <color theme="1"/>
        <rFont val="Calibri"/>
        <family val="2"/>
        <scheme val="minor"/>
      </rPr>
      <t>2</t>
    </r>
  </si>
  <si>
    <r>
      <t xml:space="preserve">Scale - </t>
    </r>
    <r>
      <rPr>
        <b/>
        <sz val="11"/>
        <color theme="1"/>
        <rFont val="Symbol"/>
        <family val="1"/>
        <charset val="2"/>
      </rPr>
      <t>l</t>
    </r>
  </si>
  <si>
    <r>
      <t>S</t>
    </r>
    <r>
      <rPr>
        <b/>
        <vertAlign val="subscript"/>
        <sz val="11"/>
        <color theme="1"/>
        <rFont val="Calibri"/>
        <family val="2"/>
        <charset val="162"/>
        <scheme val="minor"/>
      </rPr>
      <t>wm</t>
    </r>
  </si>
  <si>
    <r>
      <t>L</t>
    </r>
    <r>
      <rPr>
        <b/>
        <vertAlign val="subscript"/>
        <sz val="10"/>
        <rFont val="Arial"/>
        <family val="2"/>
        <charset val="162"/>
      </rPr>
      <t>wl</t>
    </r>
  </si>
  <si>
    <r>
      <t>n * 10</t>
    </r>
    <r>
      <rPr>
        <b/>
        <vertAlign val="superscript"/>
        <sz val="11"/>
        <rFont val="Symbol"/>
        <family val="1"/>
        <charset val="2"/>
      </rPr>
      <t>-6</t>
    </r>
  </si>
  <si>
    <r>
      <t>C</t>
    </r>
    <r>
      <rPr>
        <b/>
        <vertAlign val="subscript"/>
        <sz val="11"/>
        <color theme="1"/>
        <rFont val="Calibri"/>
        <family val="2"/>
        <charset val="162"/>
        <scheme val="minor"/>
      </rPr>
      <t>FS</t>
    </r>
  </si>
  <si>
    <r>
      <t>C</t>
    </r>
    <r>
      <rPr>
        <b/>
        <vertAlign val="subscript"/>
        <sz val="11"/>
        <color theme="1"/>
        <rFont val="Calibri"/>
        <family val="2"/>
        <charset val="162"/>
        <scheme val="minor"/>
      </rPr>
      <t>VS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</si>
</sst>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00"/>
    <numFmt numFmtId="165" formatCode="0.00000"/>
    <numFmt numFmtId="166" formatCode="0.0"/>
    <numFmt numFmtId="167" formatCode="0.0000"/>
  </numFmts>
  <fonts count="19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vertAlign val="subscript"/>
      <sz val="10"/>
      <name val="Arial"/>
      <family val="2"/>
      <charset val="162"/>
    </font>
    <font>
      <b/>
      <sz val="8"/>
      <color indexed="81"/>
      <name val="Tahoma"/>
      <family val="2"/>
      <charset val="162"/>
    </font>
    <font>
      <sz val="8"/>
      <color indexed="81"/>
      <name val="Tahoma"/>
      <family val="2"/>
      <charset val="162"/>
    </font>
    <font>
      <sz val="11"/>
      <color theme="1"/>
      <name val="Symbol"/>
      <family val="1"/>
      <charset val="2"/>
    </font>
    <font>
      <vertAlign val="superscript"/>
      <sz val="11"/>
      <color theme="1"/>
      <name val="Calibri"/>
      <family val="2"/>
      <charset val="162"/>
      <scheme val="minor"/>
    </font>
    <font>
      <vertAlign val="subscript"/>
      <sz val="11"/>
      <color theme="1"/>
      <name val="Calibri"/>
      <family val="2"/>
      <charset val="162"/>
      <scheme val="minor"/>
    </font>
    <font>
      <b/>
      <vertAlign val="subscript"/>
      <sz val="11"/>
      <color theme="1"/>
      <name val="Calibri"/>
      <family val="2"/>
      <charset val="162"/>
      <scheme val="minor"/>
    </font>
    <font>
      <b/>
      <vertAlign val="superscript"/>
      <sz val="11"/>
      <color theme="1"/>
      <name val="Calibri"/>
      <family val="2"/>
      <charset val="162"/>
      <scheme val="minor"/>
    </font>
    <font>
      <sz val="10"/>
      <name val="Symbol"/>
      <family val="1"/>
      <charset val="2"/>
    </font>
    <font>
      <vertAlign val="superscript"/>
      <sz val="10"/>
      <name val="Arial"/>
      <family val="2"/>
      <charset val="162"/>
    </font>
    <font>
      <sz val="11"/>
      <color theme="1"/>
      <name val="Calibri"/>
      <family val="2"/>
      <charset val="162"/>
    </font>
    <font>
      <vertAlign val="superscript"/>
      <sz val="11"/>
      <color theme="1"/>
      <name val="Calibri"/>
      <family val="2"/>
      <charset val="162"/>
    </font>
    <font>
      <b/>
      <sz val="11"/>
      <color theme="1"/>
      <name val="Symbol"/>
      <family val="1"/>
      <charset val="2"/>
    </font>
    <font>
      <vertAlign val="subscript"/>
      <sz val="11"/>
      <color theme="1"/>
      <name val="Calibri"/>
      <family val="2"/>
      <scheme val="minor"/>
    </font>
    <font>
      <b/>
      <sz val="11"/>
      <name val="Symbol"/>
      <family val="1"/>
      <charset val="2"/>
    </font>
    <font>
      <b/>
      <vertAlign val="subscript"/>
      <sz val="10"/>
      <name val="Arial"/>
      <family val="2"/>
      <charset val="162"/>
    </font>
    <font>
      <b/>
      <vertAlign val="superscript"/>
      <sz val="11"/>
      <name val="Symbol"/>
      <family val="1"/>
      <charset val="2"/>
    </font>
  </fonts>
  <fills count="9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4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2" borderId="1" xfId="0" applyFill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164" fontId="0" fillId="4" borderId="1" xfId="0" applyNumberFormat="1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165" fontId="0" fillId="6" borderId="1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1" fontId="0" fillId="0" borderId="1" xfId="0" applyNumberFormat="1" applyBorder="1" applyAlignment="1">
      <alignment horizontal="center"/>
    </xf>
    <xf numFmtId="166" fontId="0" fillId="0" borderId="1" xfId="0" applyNumberFormat="1" applyBorder="1" applyAlignment="1">
      <alignment horizontal="center"/>
    </xf>
    <xf numFmtId="0" fontId="0" fillId="5" borderId="8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5" fillId="5" borderId="8" xfId="0" applyFont="1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164" fontId="0" fillId="8" borderId="1" xfId="0" applyNumberFormat="1" applyFill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0" fontId="5" fillId="5" borderId="1" xfId="0" applyFont="1" applyFill="1" applyBorder="1" applyAlignment="1">
      <alignment horizontal="center"/>
    </xf>
    <xf numFmtId="0" fontId="5" fillId="8" borderId="1" xfId="0" applyFont="1" applyFill="1" applyBorder="1" applyAlignment="1">
      <alignment horizontal="center"/>
    </xf>
    <xf numFmtId="167" fontId="0" fillId="8" borderId="1" xfId="0" applyNumberFormat="1" applyFill="1" applyBorder="1" applyAlignment="1">
      <alignment horizontal="center"/>
    </xf>
    <xf numFmtId="0" fontId="0" fillId="5" borderId="6" xfId="0" applyFill="1" applyBorder="1" applyAlignment="1"/>
    <xf numFmtId="0" fontId="0" fillId="0" borderId="7" xfId="0" applyBorder="1" applyAlignment="1"/>
    <xf numFmtId="0" fontId="0" fillId="0" borderId="8" xfId="0" applyBorder="1" applyAlignment="1"/>
    <xf numFmtId="0" fontId="0" fillId="5" borderId="7" xfId="0" applyFill="1" applyBorder="1" applyAlignment="1"/>
    <xf numFmtId="0" fontId="0" fillId="5" borderId="8" xfId="0" applyFill="1" applyBorder="1" applyAlignment="1"/>
    <xf numFmtId="0" fontId="0" fillId="5" borderId="1" xfId="0" applyFill="1" applyBorder="1" applyAlignment="1"/>
    <xf numFmtId="0" fontId="0" fillId="7" borderId="1" xfId="0" applyFill="1" applyBorder="1" applyAlignment="1"/>
    <xf numFmtId="0" fontId="0" fillId="8" borderId="1" xfId="0" applyFill="1" applyBorder="1" applyAlignment="1"/>
    <xf numFmtId="0" fontId="1" fillId="2" borderId="1" xfId="0" applyFont="1" applyFill="1" applyBorder="1" applyAlignment="1">
      <alignment horizontal="center"/>
    </xf>
    <xf numFmtId="0" fontId="16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layout/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FormFactor!$J$16:$J$23</c:f>
              <c:numCache>
                <c:formatCode>0.000</c:formatCode>
                <c:ptCount val="8"/>
                <c:pt idx="0">
                  <c:v>3.0987204262337947E-2</c:v>
                </c:pt>
                <c:pt idx="1">
                  <c:v>4.2268952625097798E-2</c:v>
                </c:pt>
                <c:pt idx="2">
                  <c:v>7.2613748971347217E-2</c:v>
                </c:pt>
                <c:pt idx="3">
                  <c:v>9.9068963011967284E-2</c:v>
                </c:pt>
                <c:pt idx="4">
                  <c:v>0.14160947926435163</c:v>
                </c:pt>
                <c:pt idx="5">
                  <c:v>0.24165236336056639</c:v>
                </c:pt>
                <c:pt idx="6">
                  <c:v>0.32390948105272349</c:v>
                </c:pt>
                <c:pt idx="7">
                  <c:v>0.42293869056598699</c:v>
                </c:pt>
              </c:numCache>
            </c:numRef>
          </c:xVal>
          <c:yVal>
            <c:numRef>
              <c:f>FormFactor!$K$16:$K$23</c:f>
              <c:numCache>
                <c:formatCode>0.000</c:formatCode>
                <c:ptCount val="8"/>
                <c:pt idx="0">
                  <c:v>1.2207156347108978</c:v>
                </c:pt>
                <c:pt idx="1">
                  <c:v>1.2207755192541727</c:v>
                </c:pt>
                <c:pt idx="2">
                  <c:v>1.2482958968422766</c:v>
                </c:pt>
                <c:pt idx="3">
                  <c:v>1.2596876746313923</c:v>
                </c:pt>
                <c:pt idx="4">
                  <c:v>1.2712057045720027</c:v>
                </c:pt>
                <c:pt idx="5">
                  <c:v>1.2901243667240214</c:v>
                </c:pt>
                <c:pt idx="6">
                  <c:v>1.3040527878100163</c:v>
                </c:pt>
                <c:pt idx="7">
                  <c:v>1.3207912271494022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2D0-4BB1-9C28-75C8C9AF07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78025967"/>
        <c:axId val="878020559"/>
      </c:scatterChart>
      <c:valAx>
        <c:axId val="878025967"/>
        <c:scaling>
          <c:orientation val="minMax"/>
          <c:max val="0.5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tr-TR"/>
                  <a:t>Fn</a:t>
                </a:r>
                <a:r>
                  <a:rPr lang="tr-TR" baseline="30000"/>
                  <a:t>4</a:t>
                </a:r>
                <a:r>
                  <a:rPr lang="tr-TR"/>
                  <a:t>/C</a:t>
                </a:r>
                <a:r>
                  <a:rPr lang="tr-TR" baseline="-25000"/>
                  <a:t>FM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78020559"/>
        <c:crosses val="autoZero"/>
        <c:crossBetween val="midCat"/>
      </c:valAx>
      <c:valAx>
        <c:axId val="87802055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tr-TR"/>
                  <a:t>C</a:t>
                </a:r>
                <a:r>
                  <a:rPr lang="tr-TR" baseline="-25000"/>
                  <a:t>TM</a:t>
                </a:r>
                <a:r>
                  <a:rPr lang="tr-TR"/>
                  <a:t>/C</a:t>
                </a:r>
                <a:r>
                  <a:rPr lang="tr-TR" baseline="-25000"/>
                  <a:t>FM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78025967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CFM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'ITTC1978 PPM'!$K$24:$K$44</c:f>
              <c:numCache>
                <c:formatCode>0.000</c:formatCode>
                <c:ptCount val="21"/>
                <c:pt idx="0">
                  <c:v>8.3927414976675177E-2</c:v>
                </c:pt>
                <c:pt idx="1">
                  <c:v>9.4834141078027165E-2</c:v>
                </c:pt>
                <c:pt idx="2">
                  <c:v>0.10346094893006272</c:v>
                </c:pt>
                <c:pt idx="3">
                  <c:v>0.11141429608960146</c:v>
                </c:pt>
                <c:pt idx="4">
                  <c:v>0.12677158895066429</c:v>
                </c:pt>
                <c:pt idx="5">
                  <c:v>0.13653175932606476</c:v>
                </c:pt>
                <c:pt idx="6">
                  <c:v>0.1486925452200501</c:v>
                </c:pt>
                <c:pt idx="7">
                  <c:v>0.1689451104905367</c:v>
                </c:pt>
                <c:pt idx="8">
                  <c:v>0.18119997550442132</c:v>
                </c:pt>
                <c:pt idx="9">
                  <c:v>0.19313374578046832</c:v>
                </c:pt>
                <c:pt idx="10">
                  <c:v>0.20774829152667496</c:v>
                </c:pt>
                <c:pt idx="11">
                  <c:v>0.2193784883367679</c:v>
                </c:pt>
                <c:pt idx="12">
                  <c:v>0.2299034054669041</c:v>
                </c:pt>
                <c:pt idx="13">
                  <c:v>0.2372290751441708</c:v>
                </c:pt>
                <c:pt idx="14">
                  <c:v>0.25077146458356009</c:v>
                </c:pt>
                <c:pt idx="15">
                  <c:v>0.25973438241633889</c:v>
                </c:pt>
                <c:pt idx="16">
                  <c:v>0.268269502216756</c:v>
                </c:pt>
                <c:pt idx="17">
                  <c:v>0.27843674300503723</c:v>
                </c:pt>
                <c:pt idx="18">
                  <c:v>0.29026848384605841</c:v>
                </c:pt>
                <c:pt idx="19">
                  <c:v>0.29834046677446363</c:v>
                </c:pt>
                <c:pt idx="20">
                  <c:v>0.3029750931442744</c:v>
                </c:pt>
              </c:numCache>
            </c:numRef>
          </c:xVal>
          <c:yVal>
            <c:numRef>
              <c:f>'ITTC1978 PPM'!$M$24:$M$44</c:f>
              <c:numCache>
                <c:formatCode>0.000</c:formatCode>
                <c:ptCount val="21"/>
                <c:pt idx="0">
                  <c:v>3.9866369945160702</c:v>
                </c:pt>
                <c:pt idx="1">
                  <c:v>3.8908578863499734</c:v>
                </c:pt>
                <c:pt idx="2">
                  <c:v>3.8246954159016968</c:v>
                </c:pt>
                <c:pt idx="3">
                  <c:v>3.7697338401756939</c:v>
                </c:pt>
                <c:pt idx="4">
                  <c:v>3.676698023071725</c:v>
                </c:pt>
                <c:pt idx="5">
                  <c:v>3.624809202757425</c:v>
                </c:pt>
                <c:pt idx="6">
                  <c:v>3.5664649536649762</c:v>
                </c:pt>
                <c:pt idx="7">
                  <c:v>3.4817450744325047</c:v>
                </c:pt>
                <c:pt idx="8">
                  <c:v>3.4365600431383236</c:v>
                </c:pt>
                <c:pt idx="9">
                  <c:v>3.3961661111504573</c:v>
                </c:pt>
                <c:pt idx="10">
                  <c:v>3.3508362952027841</c:v>
                </c:pt>
                <c:pt idx="11">
                  <c:v>3.3175754589112056</c:v>
                </c:pt>
                <c:pt idx="12">
                  <c:v>3.2893563888598134</c:v>
                </c:pt>
                <c:pt idx="13">
                  <c:v>3.2706681857148072</c:v>
                </c:pt>
                <c:pt idx="14">
                  <c:v>3.2379804685608882</c:v>
                </c:pt>
                <c:pt idx="15">
                  <c:v>3.2175556710813522</c:v>
                </c:pt>
                <c:pt idx="16">
                  <c:v>3.1989210033575302</c:v>
                </c:pt>
                <c:pt idx="17">
                  <c:v>3.1776812821832894</c:v>
                </c:pt>
                <c:pt idx="18">
                  <c:v>3.154169527333019</c:v>
                </c:pt>
                <c:pt idx="19">
                  <c:v>3.1388151336551058</c:v>
                </c:pt>
                <c:pt idx="20">
                  <c:v>3.1302350469896929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63C3-45C2-8C73-A95A843E23E1}"/>
            </c:ext>
          </c:extLst>
        </c:ser>
        <c:ser>
          <c:idx val="1"/>
          <c:order val="1"/>
          <c:tx>
            <c:v>CVM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'ITTC1978 PPM'!$K$24:$K$44</c:f>
              <c:numCache>
                <c:formatCode>0.000</c:formatCode>
                <c:ptCount val="21"/>
                <c:pt idx="0">
                  <c:v>8.3927414976675177E-2</c:v>
                </c:pt>
                <c:pt idx="1">
                  <c:v>9.4834141078027165E-2</c:v>
                </c:pt>
                <c:pt idx="2">
                  <c:v>0.10346094893006272</c:v>
                </c:pt>
                <c:pt idx="3">
                  <c:v>0.11141429608960146</c:v>
                </c:pt>
                <c:pt idx="4">
                  <c:v>0.12677158895066429</c:v>
                </c:pt>
                <c:pt idx="5">
                  <c:v>0.13653175932606476</c:v>
                </c:pt>
                <c:pt idx="6">
                  <c:v>0.1486925452200501</c:v>
                </c:pt>
                <c:pt idx="7">
                  <c:v>0.1689451104905367</c:v>
                </c:pt>
                <c:pt idx="8">
                  <c:v>0.18119997550442132</c:v>
                </c:pt>
                <c:pt idx="9">
                  <c:v>0.19313374578046832</c:v>
                </c:pt>
                <c:pt idx="10">
                  <c:v>0.20774829152667496</c:v>
                </c:pt>
                <c:pt idx="11">
                  <c:v>0.2193784883367679</c:v>
                </c:pt>
                <c:pt idx="12">
                  <c:v>0.2299034054669041</c:v>
                </c:pt>
                <c:pt idx="13">
                  <c:v>0.2372290751441708</c:v>
                </c:pt>
                <c:pt idx="14">
                  <c:v>0.25077146458356009</c:v>
                </c:pt>
                <c:pt idx="15">
                  <c:v>0.25973438241633889</c:v>
                </c:pt>
                <c:pt idx="16">
                  <c:v>0.268269502216756</c:v>
                </c:pt>
                <c:pt idx="17">
                  <c:v>0.27843674300503723</c:v>
                </c:pt>
                <c:pt idx="18">
                  <c:v>0.29026848384605841</c:v>
                </c:pt>
                <c:pt idx="19">
                  <c:v>0.29834046677446363</c:v>
                </c:pt>
                <c:pt idx="20">
                  <c:v>0.3029750931442744</c:v>
                </c:pt>
              </c:numCache>
            </c:numRef>
          </c:xVal>
          <c:yVal>
            <c:numRef>
              <c:f>'ITTC1978 PPM'!$N$24:$N$44</c:f>
              <c:numCache>
                <c:formatCode>0.000</c:formatCode>
                <c:ptCount val="21"/>
                <c:pt idx="0">
                  <c:v>4.7839643934192839</c:v>
                </c:pt>
                <c:pt idx="1">
                  <c:v>4.6690294636199683</c:v>
                </c:pt>
                <c:pt idx="2">
                  <c:v>4.5896344990820364</c:v>
                </c:pt>
                <c:pt idx="3">
                  <c:v>4.5236806082108325</c:v>
                </c:pt>
                <c:pt idx="4">
                  <c:v>4.41203762768607</c:v>
                </c:pt>
                <c:pt idx="5">
                  <c:v>4.3497710433089098</c:v>
                </c:pt>
                <c:pt idx="6">
                  <c:v>4.2797579443979714</c:v>
                </c:pt>
                <c:pt idx="7">
                  <c:v>4.1780940893190053</c:v>
                </c:pt>
                <c:pt idx="8">
                  <c:v>4.1238720517659884</c:v>
                </c:pt>
                <c:pt idx="9">
                  <c:v>4.0753993333805489</c:v>
                </c:pt>
                <c:pt idx="10">
                  <c:v>4.0210035542433404</c:v>
                </c:pt>
                <c:pt idx="11">
                  <c:v>3.9810905506934464</c:v>
                </c:pt>
                <c:pt idx="12">
                  <c:v>3.9472276666317758</c:v>
                </c:pt>
                <c:pt idx="13">
                  <c:v>3.9248018228577686</c:v>
                </c:pt>
                <c:pt idx="14">
                  <c:v>3.8855765622730658</c:v>
                </c:pt>
                <c:pt idx="15">
                  <c:v>3.8610668052976225</c:v>
                </c:pt>
                <c:pt idx="16">
                  <c:v>3.8387052040290359</c:v>
                </c:pt>
                <c:pt idx="17">
                  <c:v>3.8132175386199472</c:v>
                </c:pt>
                <c:pt idx="18">
                  <c:v>3.7850034327996225</c:v>
                </c:pt>
                <c:pt idx="19">
                  <c:v>3.7665781603861266</c:v>
                </c:pt>
                <c:pt idx="20">
                  <c:v>3.7562820563876311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63C3-45C2-8C73-A95A843E23E1}"/>
            </c:ext>
          </c:extLst>
        </c:ser>
        <c:ser>
          <c:idx val="2"/>
          <c:order val="2"/>
          <c:tx>
            <c:v>CTM</c:v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'ITTC1978 PPM'!$K$24:$K$44</c:f>
              <c:numCache>
                <c:formatCode>0.000</c:formatCode>
                <c:ptCount val="21"/>
                <c:pt idx="0">
                  <c:v>8.3927414976675177E-2</c:v>
                </c:pt>
                <c:pt idx="1">
                  <c:v>9.4834141078027165E-2</c:v>
                </c:pt>
                <c:pt idx="2">
                  <c:v>0.10346094893006272</c:v>
                </c:pt>
                <c:pt idx="3">
                  <c:v>0.11141429608960146</c:v>
                </c:pt>
                <c:pt idx="4">
                  <c:v>0.12677158895066429</c:v>
                </c:pt>
                <c:pt idx="5">
                  <c:v>0.13653175932606476</c:v>
                </c:pt>
                <c:pt idx="6">
                  <c:v>0.1486925452200501</c:v>
                </c:pt>
                <c:pt idx="7">
                  <c:v>0.1689451104905367</c:v>
                </c:pt>
                <c:pt idx="8">
                  <c:v>0.18119997550442132</c:v>
                </c:pt>
                <c:pt idx="9">
                  <c:v>0.19313374578046832</c:v>
                </c:pt>
                <c:pt idx="10">
                  <c:v>0.20774829152667496</c:v>
                </c:pt>
                <c:pt idx="11">
                  <c:v>0.2193784883367679</c:v>
                </c:pt>
                <c:pt idx="12">
                  <c:v>0.2299034054669041</c:v>
                </c:pt>
                <c:pt idx="13">
                  <c:v>0.2372290751441708</c:v>
                </c:pt>
                <c:pt idx="14">
                  <c:v>0.25077146458356009</c:v>
                </c:pt>
                <c:pt idx="15">
                  <c:v>0.25973438241633889</c:v>
                </c:pt>
                <c:pt idx="16">
                  <c:v>0.268269502216756</c:v>
                </c:pt>
                <c:pt idx="17">
                  <c:v>0.27843674300503723</c:v>
                </c:pt>
                <c:pt idx="18">
                  <c:v>0.29026848384605841</c:v>
                </c:pt>
                <c:pt idx="19">
                  <c:v>0.29834046677446363</c:v>
                </c:pt>
                <c:pt idx="20">
                  <c:v>0.3029750931442744</c:v>
                </c:pt>
              </c:numCache>
            </c:numRef>
          </c:xVal>
          <c:yVal>
            <c:numRef>
              <c:f>'ITTC1978 PPM'!$P$24:$P$44</c:f>
              <c:numCache>
                <c:formatCode>0.000</c:formatCode>
                <c:ptCount val="21"/>
                <c:pt idx="0">
                  <c:v>4.826539628783074</c:v>
                </c:pt>
                <c:pt idx="1">
                  <c:v>4.7407935302630255</c:v>
                </c:pt>
                <c:pt idx="2">
                  <c:v>4.6662332484366278</c:v>
                </c:pt>
                <c:pt idx="3">
                  <c:v>4.5994151641950136</c:v>
                </c:pt>
                <c:pt idx="4">
                  <c:v>4.5838202036405429</c:v>
                </c:pt>
                <c:pt idx="5">
                  <c:v>4.5591252965764086</c:v>
                </c:pt>
                <c:pt idx="6">
                  <c:v>4.5255564534510393</c:v>
                </c:pt>
                <c:pt idx="7">
                  <c:v>4.4819262121421684</c:v>
                </c:pt>
                <c:pt idx="8">
                  <c:v>4.4701801111247459</c:v>
                </c:pt>
                <c:pt idx="9">
                  <c:v>4.4727652664343305</c:v>
                </c:pt>
                <c:pt idx="10">
                  <c:v>4.4981682656208424</c:v>
                </c:pt>
                <c:pt idx="11">
                  <c:v>4.5389050826593831</c:v>
                </c:pt>
                <c:pt idx="12">
                  <c:v>4.5945605429298704</c:v>
                </c:pt>
                <c:pt idx="13">
                  <c:v>4.6459515081776859</c:v>
                </c:pt>
                <c:pt idx="14">
                  <c:v>4.7763668178934457</c:v>
                </c:pt>
                <c:pt idx="15">
                  <c:v>4.8974054997576673</c:v>
                </c:pt>
                <c:pt idx="16">
                  <c:v>5.0515133511916881</c:v>
                </c:pt>
                <c:pt idx="17">
                  <c:v>5.314903598197688</c:v>
                </c:pt>
                <c:pt idx="18">
                  <c:v>5.8149939755498439</c:v>
                </c:pt>
                <c:pt idx="19">
                  <c:v>6.2314323587807072</c:v>
                </c:pt>
                <c:pt idx="20">
                  <c:v>6.3886233533973664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63C3-45C2-8C73-A95A843E23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58600351"/>
        <c:axId val="1558604511"/>
      </c:scatterChart>
      <c:valAx>
        <c:axId val="1558600351"/>
        <c:scaling>
          <c:orientation val="minMax"/>
          <c:min val="5.000000000000001E-2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tr-TR"/>
                  <a:t>Fr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58604511"/>
        <c:crosses val="autoZero"/>
        <c:crossBetween val="midCat"/>
      </c:valAx>
      <c:valAx>
        <c:axId val="1558604511"/>
        <c:scaling>
          <c:orientation val="minMax"/>
          <c:max val="6.5"/>
          <c:min val="3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tr-TR"/>
                  <a:t>C</a:t>
                </a:r>
                <a:r>
                  <a:rPr lang="tr-TR" baseline="-25000"/>
                  <a:t>FM</a:t>
                </a:r>
                <a:r>
                  <a:rPr lang="tr-TR"/>
                  <a:t>,</a:t>
                </a:r>
                <a:r>
                  <a:rPr lang="tr-TR" baseline="0"/>
                  <a:t> C</a:t>
                </a:r>
                <a:r>
                  <a:rPr lang="tr-TR" baseline="-25000"/>
                  <a:t>VM</a:t>
                </a:r>
                <a:r>
                  <a:rPr lang="tr-TR" baseline="0"/>
                  <a:t>, C</a:t>
                </a:r>
                <a:r>
                  <a:rPr lang="tr-TR" baseline="-25000"/>
                  <a:t>TM</a:t>
                </a:r>
                <a:r>
                  <a:rPr lang="tr-TR" baseline="0"/>
                  <a:t>, *1000</a:t>
                </a:r>
                <a:endParaRPr lang="tr-TR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58600351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CFS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'ITTC1978 PPM'!$T$24:$T$44</c:f>
              <c:numCache>
                <c:formatCode>0.000</c:formatCode>
                <c:ptCount val="21"/>
                <c:pt idx="0">
                  <c:v>8.3927414976675177E-2</c:v>
                </c:pt>
                <c:pt idx="1">
                  <c:v>9.4834141078027165E-2</c:v>
                </c:pt>
                <c:pt idx="2">
                  <c:v>0.10346094893006272</c:v>
                </c:pt>
                <c:pt idx="3">
                  <c:v>0.11141429608960146</c:v>
                </c:pt>
                <c:pt idx="4">
                  <c:v>0.12677158895066429</c:v>
                </c:pt>
                <c:pt idx="5">
                  <c:v>0.13653175932606476</c:v>
                </c:pt>
                <c:pt idx="6">
                  <c:v>0.1486925452200501</c:v>
                </c:pt>
                <c:pt idx="7">
                  <c:v>0.1689451104905367</c:v>
                </c:pt>
                <c:pt idx="8">
                  <c:v>0.18119997550442132</c:v>
                </c:pt>
                <c:pt idx="9">
                  <c:v>0.19313374578046832</c:v>
                </c:pt>
                <c:pt idx="10">
                  <c:v>0.20774829152667496</c:v>
                </c:pt>
                <c:pt idx="11">
                  <c:v>0.2193784883367679</c:v>
                </c:pt>
                <c:pt idx="12">
                  <c:v>0.2299034054669041</c:v>
                </c:pt>
                <c:pt idx="13">
                  <c:v>0.2372290751441708</c:v>
                </c:pt>
                <c:pt idx="14">
                  <c:v>0.25077146458356009</c:v>
                </c:pt>
                <c:pt idx="15">
                  <c:v>0.25973438241633889</c:v>
                </c:pt>
                <c:pt idx="16">
                  <c:v>0.268269502216756</c:v>
                </c:pt>
                <c:pt idx="17">
                  <c:v>0.27843674300503723</c:v>
                </c:pt>
                <c:pt idx="18">
                  <c:v>0.29026848384605841</c:v>
                </c:pt>
                <c:pt idx="19">
                  <c:v>0.29834046677446363</c:v>
                </c:pt>
                <c:pt idx="20">
                  <c:v>0.3029750931442744</c:v>
                </c:pt>
              </c:numCache>
            </c:numRef>
          </c:xVal>
          <c:yVal>
            <c:numRef>
              <c:f>'ITTC1978 PPM'!$V$24:$V$44</c:f>
              <c:numCache>
                <c:formatCode>0.000</c:formatCode>
                <c:ptCount val="21"/>
                <c:pt idx="0">
                  <c:v>1.6445604076186999</c:v>
                </c:pt>
                <c:pt idx="1">
                  <c:v>1.619018503256977</c:v>
                </c:pt>
                <c:pt idx="2">
                  <c:v>1.601178440460197</c:v>
                </c:pt>
                <c:pt idx="3">
                  <c:v>1.586233916293015</c:v>
                </c:pt>
                <c:pt idx="4">
                  <c:v>1.5606728988869851</c:v>
                </c:pt>
                <c:pt idx="5">
                  <c:v>1.546269575494533</c:v>
                </c:pt>
                <c:pt idx="6">
                  <c:v>1.5299456506697426</c:v>
                </c:pt>
                <c:pt idx="7">
                  <c:v>1.5059943460965026</c:v>
                </c:pt>
                <c:pt idx="8">
                  <c:v>1.4930974200127922</c:v>
                </c:pt>
                <c:pt idx="9">
                  <c:v>1.481494386946123</c:v>
                </c:pt>
                <c:pt idx="10">
                  <c:v>1.4683895402491707</c:v>
                </c:pt>
                <c:pt idx="11">
                  <c:v>1.4587165436650495</c:v>
                </c:pt>
                <c:pt idx="12">
                  <c:v>1.4504713022641638</c:v>
                </c:pt>
                <c:pt idx="13">
                  <c:v>1.4449912146966866</c:v>
                </c:pt>
                <c:pt idx="14">
                  <c:v>1.4353679565806503</c:v>
                </c:pt>
                <c:pt idx="15">
                  <c:v>1.4293301515190535</c:v>
                </c:pt>
                <c:pt idx="16">
                  <c:v>1.423804780297639</c:v>
                </c:pt>
                <c:pt idx="17">
                  <c:v>1.4174873520459597</c:v>
                </c:pt>
                <c:pt idx="18">
                  <c:v>1.4104695633343856</c:v>
                </c:pt>
                <c:pt idx="19">
                  <c:v>1.4058725404446073</c:v>
                </c:pt>
                <c:pt idx="20">
                  <c:v>1.4032988477455357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E13E-4F9A-8D39-5D9BA036C748}"/>
            </c:ext>
          </c:extLst>
        </c:ser>
        <c:ser>
          <c:idx val="1"/>
          <c:order val="1"/>
          <c:tx>
            <c:v>CVM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'ITTC1978 PPM'!$T$24:$T$44</c:f>
              <c:numCache>
                <c:formatCode>0.000</c:formatCode>
                <c:ptCount val="21"/>
                <c:pt idx="0">
                  <c:v>8.3927414976675177E-2</c:v>
                </c:pt>
                <c:pt idx="1">
                  <c:v>9.4834141078027165E-2</c:v>
                </c:pt>
                <c:pt idx="2">
                  <c:v>0.10346094893006272</c:v>
                </c:pt>
                <c:pt idx="3">
                  <c:v>0.11141429608960146</c:v>
                </c:pt>
                <c:pt idx="4">
                  <c:v>0.12677158895066429</c:v>
                </c:pt>
                <c:pt idx="5">
                  <c:v>0.13653175932606476</c:v>
                </c:pt>
                <c:pt idx="6">
                  <c:v>0.1486925452200501</c:v>
                </c:pt>
                <c:pt idx="7">
                  <c:v>0.1689451104905367</c:v>
                </c:pt>
                <c:pt idx="8">
                  <c:v>0.18119997550442132</c:v>
                </c:pt>
                <c:pt idx="9">
                  <c:v>0.19313374578046832</c:v>
                </c:pt>
                <c:pt idx="10">
                  <c:v>0.20774829152667496</c:v>
                </c:pt>
                <c:pt idx="11">
                  <c:v>0.2193784883367679</c:v>
                </c:pt>
                <c:pt idx="12">
                  <c:v>0.2299034054669041</c:v>
                </c:pt>
                <c:pt idx="13">
                  <c:v>0.2372290751441708</c:v>
                </c:pt>
                <c:pt idx="14">
                  <c:v>0.25077146458356009</c:v>
                </c:pt>
                <c:pt idx="15">
                  <c:v>0.25973438241633889</c:v>
                </c:pt>
                <c:pt idx="16">
                  <c:v>0.268269502216756</c:v>
                </c:pt>
                <c:pt idx="17">
                  <c:v>0.27843674300503723</c:v>
                </c:pt>
                <c:pt idx="18">
                  <c:v>0.29026848384605841</c:v>
                </c:pt>
                <c:pt idx="19">
                  <c:v>0.29834046677446363</c:v>
                </c:pt>
                <c:pt idx="20">
                  <c:v>0.3029750931442744</c:v>
                </c:pt>
              </c:numCache>
            </c:numRef>
          </c:xVal>
          <c:yVal>
            <c:numRef>
              <c:f>'ITTC1978 PPM'!$W$24:$W$44</c:f>
              <c:numCache>
                <c:formatCode>0.000</c:formatCode>
                <c:ptCount val="21"/>
                <c:pt idx="0">
                  <c:v>1.9734724891424398</c:v>
                </c:pt>
                <c:pt idx="1">
                  <c:v>1.9428222039083725</c:v>
                </c:pt>
                <c:pt idx="2">
                  <c:v>1.9214141285522364</c:v>
                </c:pt>
                <c:pt idx="3">
                  <c:v>1.903480699551618</c:v>
                </c:pt>
                <c:pt idx="4">
                  <c:v>1.872807478664382</c:v>
                </c:pt>
                <c:pt idx="5">
                  <c:v>1.8555234905934395</c:v>
                </c:pt>
                <c:pt idx="6">
                  <c:v>1.835934780803691</c:v>
                </c:pt>
                <c:pt idx="7">
                  <c:v>1.807193215315803</c:v>
                </c:pt>
                <c:pt idx="8">
                  <c:v>1.7917169040153507</c:v>
                </c:pt>
                <c:pt idx="9">
                  <c:v>1.7777932643353476</c:v>
                </c:pt>
                <c:pt idx="10">
                  <c:v>1.7620674482990049</c:v>
                </c:pt>
                <c:pt idx="11">
                  <c:v>1.7504598523980595</c:v>
                </c:pt>
                <c:pt idx="12">
                  <c:v>1.7405655627169965</c:v>
                </c:pt>
                <c:pt idx="13">
                  <c:v>1.7339894576360237</c:v>
                </c:pt>
                <c:pt idx="14">
                  <c:v>1.7224415478967803</c:v>
                </c:pt>
                <c:pt idx="15">
                  <c:v>1.7151961818228643</c:v>
                </c:pt>
                <c:pt idx="16">
                  <c:v>1.7085657363571667</c:v>
                </c:pt>
                <c:pt idx="17">
                  <c:v>1.7009848224551516</c:v>
                </c:pt>
                <c:pt idx="18">
                  <c:v>1.6925634760012627</c:v>
                </c:pt>
                <c:pt idx="19">
                  <c:v>1.6870470485335287</c:v>
                </c:pt>
                <c:pt idx="20">
                  <c:v>1.6839586172946428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E13E-4F9A-8D39-5D9BA036C748}"/>
            </c:ext>
          </c:extLst>
        </c:ser>
        <c:ser>
          <c:idx val="2"/>
          <c:order val="2"/>
          <c:tx>
            <c:v>CTS</c:v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'ITTC1978 PPM'!$T$24:$T$44</c:f>
              <c:numCache>
                <c:formatCode>0.000</c:formatCode>
                <c:ptCount val="21"/>
                <c:pt idx="0">
                  <c:v>8.3927414976675177E-2</c:v>
                </c:pt>
                <c:pt idx="1">
                  <c:v>9.4834141078027165E-2</c:v>
                </c:pt>
                <c:pt idx="2">
                  <c:v>0.10346094893006272</c:v>
                </c:pt>
                <c:pt idx="3">
                  <c:v>0.11141429608960146</c:v>
                </c:pt>
                <c:pt idx="4">
                  <c:v>0.12677158895066429</c:v>
                </c:pt>
                <c:pt idx="5">
                  <c:v>0.13653175932606476</c:v>
                </c:pt>
                <c:pt idx="6">
                  <c:v>0.1486925452200501</c:v>
                </c:pt>
                <c:pt idx="7">
                  <c:v>0.1689451104905367</c:v>
                </c:pt>
                <c:pt idx="8">
                  <c:v>0.18119997550442132</c:v>
                </c:pt>
                <c:pt idx="9">
                  <c:v>0.19313374578046832</c:v>
                </c:pt>
                <c:pt idx="10">
                  <c:v>0.20774829152667496</c:v>
                </c:pt>
                <c:pt idx="11">
                  <c:v>0.2193784883367679</c:v>
                </c:pt>
                <c:pt idx="12">
                  <c:v>0.2299034054669041</c:v>
                </c:pt>
                <c:pt idx="13">
                  <c:v>0.2372290751441708</c:v>
                </c:pt>
                <c:pt idx="14">
                  <c:v>0.25077146458356009</c:v>
                </c:pt>
                <c:pt idx="15">
                  <c:v>0.25973438241633889</c:v>
                </c:pt>
                <c:pt idx="16">
                  <c:v>0.268269502216756</c:v>
                </c:pt>
                <c:pt idx="17">
                  <c:v>0.27843674300503723</c:v>
                </c:pt>
                <c:pt idx="18">
                  <c:v>0.29026848384605841</c:v>
                </c:pt>
                <c:pt idx="19">
                  <c:v>0.29834046677446363</c:v>
                </c:pt>
                <c:pt idx="20">
                  <c:v>0.3029750931442744</c:v>
                </c:pt>
              </c:numCache>
            </c:numRef>
          </c:xVal>
          <c:yVal>
            <c:numRef>
              <c:f>'ITTC1978 PPM'!$Z$24:$Z$44</c:f>
              <c:numCache>
                <c:formatCode>0.000</c:formatCode>
                <c:ptCount val="21"/>
                <c:pt idx="0">
                  <c:v>2.3095455278704859</c:v>
                </c:pt>
                <c:pt idx="1">
                  <c:v>2.3076969236991491</c:v>
                </c:pt>
                <c:pt idx="2">
                  <c:v>2.29085312114004</c:v>
                </c:pt>
                <c:pt idx="3">
                  <c:v>2.2718289778453782</c:v>
                </c:pt>
                <c:pt idx="4">
                  <c:v>2.3368163370068253</c:v>
                </c:pt>
                <c:pt idx="5">
                  <c:v>2.356885708550617</c:v>
                </c:pt>
                <c:pt idx="6">
                  <c:v>2.3734938254220799</c:v>
                </c:pt>
                <c:pt idx="7">
                  <c:v>2.4024228329293886</c:v>
                </c:pt>
                <c:pt idx="8">
                  <c:v>2.4292269736127428</c:v>
                </c:pt>
                <c:pt idx="9">
                  <c:v>2.4661853351986514</c:v>
                </c:pt>
                <c:pt idx="10">
                  <c:v>2.5300596613873045</c:v>
                </c:pt>
                <c:pt idx="11">
                  <c:v>2.5989552680830781</c:v>
                </c:pt>
                <c:pt idx="12">
                  <c:v>2.6784543458746355</c:v>
                </c:pt>
                <c:pt idx="13">
                  <c:v>2.7456119856453927</c:v>
                </c:pt>
                <c:pt idx="14">
                  <c:v>2.9035587821233921</c:v>
                </c:pt>
                <c:pt idx="15">
                  <c:v>3.0417703371423079</c:v>
                </c:pt>
                <c:pt idx="16">
                  <c:v>3.2115255938242662</c:v>
                </c:pt>
                <c:pt idx="17">
                  <c:v>3.4927268362151267</c:v>
                </c:pt>
                <c:pt idx="18">
                  <c:v>4.0125036011307076</c:v>
                </c:pt>
                <c:pt idx="19">
                  <c:v>4.4417811501486462</c:v>
                </c:pt>
                <c:pt idx="20">
                  <c:v>4.606140806898626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E13E-4F9A-8D39-5D9BA036C7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58600351"/>
        <c:axId val="1558604511"/>
      </c:scatterChart>
      <c:valAx>
        <c:axId val="1558600351"/>
        <c:scaling>
          <c:orientation val="minMax"/>
          <c:min val="5.000000000000001E-2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tr-TR"/>
                  <a:t>Fr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58604511"/>
        <c:crosses val="autoZero"/>
        <c:crossBetween val="midCat"/>
      </c:valAx>
      <c:valAx>
        <c:axId val="1558604511"/>
        <c:scaling>
          <c:orientation val="minMax"/>
          <c:min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tr-TR"/>
                  <a:t>C</a:t>
                </a:r>
                <a:r>
                  <a:rPr lang="tr-TR" baseline="-25000"/>
                  <a:t>FS</a:t>
                </a:r>
                <a:r>
                  <a:rPr lang="tr-TR"/>
                  <a:t>,</a:t>
                </a:r>
                <a:r>
                  <a:rPr lang="tr-TR" baseline="0"/>
                  <a:t> C</a:t>
                </a:r>
                <a:r>
                  <a:rPr lang="tr-TR" baseline="-25000"/>
                  <a:t>VS</a:t>
                </a:r>
                <a:r>
                  <a:rPr lang="tr-TR" baseline="0"/>
                  <a:t>, C</a:t>
                </a:r>
                <a:r>
                  <a:rPr lang="tr-TR" baseline="-25000"/>
                  <a:t>TS</a:t>
                </a:r>
                <a:r>
                  <a:rPr lang="tr-TR" baseline="0"/>
                  <a:t>, *1000</a:t>
                </a:r>
                <a:endParaRPr lang="tr-TR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58600351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PE [kW]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'ITTC1978 PPM'!$S$24:$S$44</c:f>
              <c:numCache>
                <c:formatCode>0.000</c:formatCode>
                <c:ptCount val="21"/>
                <c:pt idx="0">
                  <c:v>6.9920834992720726</c:v>
                </c:pt>
                <c:pt idx="1">
                  <c:v>7.9007346191181611</c:v>
                </c:pt>
                <c:pt idx="2">
                  <c:v>8.6194432895850426</c:v>
                </c:pt>
                <c:pt idx="3">
                  <c:v>9.2820452230968549</c:v>
                </c:pt>
                <c:pt idx="4">
                  <c:v>10.561477861849863</c:v>
                </c:pt>
                <c:pt idx="5">
                  <c:v>11.37460818703488</c:v>
                </c:pt>
                <c:pt idx="6">
                  <c:v>12.387736381334046</c:v>
                </c:pt>
                <c:pt idx="7">
                  <c:v>14.074999446508338</c:v>
                </c:pt>
                <c:pt idx="8">
                  <c:v>15.095965473797552</c:v>
                </c:pt>
                <c:pt idx="9">
                  <c:v>16.090180752016732</c:v>
                </c:pt>
                <c:pt idx="10">
                  <c:v>17.307734327207957</c:v>
                </c:pt>
                <c:pt idx="11">
                  <c:v>18.276658572423152</c:v>
                </c:pt>
                <c:pt idx="12">
                  <c:v>19.153500774905897</c:v>
                </c:pt>
                <c:pt idx="13">
                  <c:v>19.763810220106485</c:v>
                </c:pt>
                <c:pt idx="14">
                  <c:v>20.89204129652158</c:v>
                </c:pt>
                <c:pt idx="15">
                  <c:v>21.638751652146389</c:v>
                </c:pt>
                <c:pt idx="16">
                  <c:v>22.349821692101656</c:v>
                </c:pt>
                <c:pt idx="17">
                  <c:v>23.196865492612183</c:v>
                </c:pt>
                <c:pt idx="18">
                  <c:v>24.182580588509744</c:v>
                </c:pt>
                <c:pt idx="19">
                  <c:v>24.855066195933656</c:v>
                </c:pt>
                <c:pt idx="20">
                  <c:v>25.241181919558063</c:v>
                </c:pt>
              </c:numCache>
            </c:numRef>
          </c:xVal>
          <c:yVal>
            <c:numRef>
              <c:f>'ITTC1978 PPM'!$AB$24:$AB$44</c:f>
              <c:numCache>
                <c:formatCode>0</c:formatCode>
                <c:ptCount val="21"/>
                <c:pt idx="0">
                  <c:v>339.29310170305934</c:v>
                </c:pt>
                <c:pt idx="1">
                  <c:v>489.11375715117913</c:v>
                </c:pt>
                <c:pt idx="2">
                  <c:v>630.46877036901867</c:v>
                </c:pt>
                <c:pt idx="3">
                  <c:v>780.79200724624741</c:v>
                </c:pt>
                <c:pt idx="4">
                  <c:v>1183.1160429426304</c:v>
                </c:pt>
                <c:pt idx="5">
                  <c:v>1490.6529514984079</c:v>
                </c:pt>
                <c:pt idx="6">
                  <c:v>1939.0662817552627</c:v>
                </c:pt>
                <c:pt idx="7">
                  <c:v>2878.8781943277527</c:v>
                </c:pt>
                <c:pt idx="8">
                  <c:v>3591.5296862547116</c:v>
                </c:pt>
                <c:pt idx="9">
                  <c:v>4415.0656284406023</c:v>
                </c:pt>
                <c:pt idx="10">
                  <c:v>5637.4163021102841</c:v>
                </c:pt>
                <c:pt idx="11">
                  <c:v>6818.9559551300235</c:v>
                </c:pt>
                <c:pt idx="12">
                  <c:v>8088.3032028488769</c:v>
                </c:pt>
                <c:pt idx="13">
                  <c:v>9109.1923139114715</c:v>
                </c:pt>
                <c:pt idx="14">
                  <c:v>11378.943306285677</c:v>
                </c:pt>
                <c:pt idx="15">
                  <c:v>13244.992359838932</c:v>
                </c:pt>
                <c:pt idx="16">
                  <c:v>15408.567296665691</c:v>
                </c:pt>
                <c:pt idx="17">
                  <c:v>18736.187240227406</c:v>
                </c:pt>
                <c:pt idx="18">
                  <c:v>24386.644676569747</c:v>
                </c:pt>
                <c:pt idx="19">
                  <c:v>29310.998495875083</c:v>
                </c:pt>
                <c:pt idx="20">
                  <c:v>31834.274351156633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CCDB-4D4E-A2D1-5DCB01C38D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58600351"/>
        <c:axId val="1558604511"/>
      </c:scatterChart>
      <c:valAx>
        <c:axId val="1558600351"/>
        <c:scaling>
          <c:orientation val="minMax"/>
          <c:max val="30"/>
          <c:min val="5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tr-TR"/>
                  <a:t>V</a:t>
                </a:r>
                <a:r>
                  <a:rPr lang="tr-TR" baseline="-25000"/>
                  <a:t>S</a:t>
                </a:r>
                <a:r>
                  <a:rPr lang="tr-TR" baseline="0"/>
                  <a:t> [knots]</a:t>
                </a:r>
                <a:endParaRPr lang="tr-TR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58604511"/>
        <c:crosses val="autoZero"/>
        <c:crossBetween val="midCat"/>
      </c:valAx>
      <c:valAx>
        <c:axId val="1558604511"/>
        <c:scaling>
          <c:orientation val="minMax"/>
          <c:min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tr-TR"/>
                  <a:t>P</a:t>
                </a:r>
                <a:r>
                  <a:rPr lang="tr-TR" baseline="-25000"/>
                  <a:t>E</a:t>
                </a:r>
                <a:r>
                  <a:rPr lang="tr-TR" baseline="0"/>
                  <a:t> [kW]</a:t>
                </a:r>
                <a:endParaRPr lang="tr-TR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58600351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layout/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'Quest-2'!$Q$27:$Q$31</c:f>
              <c:numCache>
                <c:formatCode>0.00000</c:formatCode>
                <c:ptCount val="5"/>
                <c:pt idx="0">
                  <c:v>2.8973865700367831</c:v>
                </c:pt>
                <c:pt idx="1">
                  <c:v>4.3747014549111611</c:v>
                </c:pt>
                <c:pt idx="2">
                  <c:v>6.0975016000888074</c:v>
                </c:pt>
                <c:pt idx="3">
                  <c:v>7.6056397463465562</c:v>
                </c:pt>
                <c:pt idx="4">
                  <c:v>9.0102998008172754</c:v>
                </c:pt>
              </c:numCache>
            </c:numRef>
          </c:xVal>
          <c:yVal>
            <c:numRef>
              <c:f>'Quest-2'!$O$27:$O$31</c:f>
              <c:numCache>
                <c:formatCode>0.00000</c:formatCode>
                <c:ptCount val="5"/>
                <c:pt idx="0">
                  <c:v>1.1910978696626384</c:v>
                </c:pt>
                <c:pt idx="1">
                  <c:v>1.2510031847149394</c:v>
                </c:pt>
                <c:pt idx="2">
                  <c:v>1.2845697201778083</c:v>
                </c:pt>
                <c:pt idx="3">
                  <c:v>1.3134717840281696</c:v>
                </c:pt>
                <c:pt idx="4">
                  <c:v>1.2991571977965086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746-484E-81FD-795569AEAC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82194671"/>
        <c:axId val="782188431"/>
      </c:scatterChart>
      <c:valAx>
        <c:axId val="78219467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2188431"/>
        <c:crosses val="autoZero"/>
        <c:crossBetween val="midCat"/>
      </c:valAx>
      <c:valAx>
        <c:axId val="782188431"/>
        <c:scaling>
          <c:orientation val="minMax"/>
          <c:min val="0.8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2194671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71437</xdr:colOff>
      <xdr:row>34</xdr:row>
      <xdr:rowOff>85725</xdr:rowOff>
    </xdr:from>
    <xdr:to>
      <xdr:col>8</xdr:col>
      <xdr:colOff>376237</xdr:colOff>
      <xdr:row>48</xdr:row>
      <xdr:rowOff>161925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438150</xdr:colOff>
      <xdr:row>4</xdr:row>
      <xdr:rowOff>152400</xdr:rowOff>
    </xdr:from>
    <xdr:to>
      <xdr:col>17</xdr:col>
      <xdr:colOff>133350</xdr:colOff>
      <xdr:row>18</xdr:row>
      <xdr:rowOff>123825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9525</xdr:colOff>
      <xdr:row>4</xdr:row>
      <xdr:rowOff>133350</xdr:rowOff>
    </xdr:from>
    <xdr:to>
      <xdr:col>25</xdr:col>
      <xdr:colOff>314325</xdr:colOff>
      <xdr:row>18</xdr:row>
      <xdr:rowOff>104775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25</xdr:col>
      <xdr:colOff>523875</xdr:colOff>
      <xdr:row>4</xdr:row>
      <xdr:rowOff>180975</xdr:rowOff>
    </xdr:from>
    <xdr:to>
      <xdr:col>33</xdr:col>
      <xdr:colOff>190500</xdr:colOff>
      <xdr:row>18</xdr:row>
      <xdr:rowOff>152400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400050</xdr:colOff>
          <xdr:row>20</xdr:row>
          <xdr:rowOff>190500</xdr:rowOff>
        </xdr:from>
        <xdr:to>
          <xdr:col>18</xdr:col>
          <xdr:colOff>57150</xdr:colOff>
          <xdr:row>22</xdr:row>
          <xdr:rowOff>180975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238125</xdr:colOff>
          <xdr:row>15</xdr:row>
          <xdr:rowOff>9525</xdr:rowOff>
        </xdr:from>
        <xdr:to>
          <xdr:col>20</xdr:col>
          <xdr:colOff>38100</xdr:colOff>
          <xdr:row>19</xdr:row>
          <xdr:rowOff>152400</xdr:rowOff>
        </xdr:to>
        <xdr:sp macro="" textlink="">
          <xdr:nvSpPr>
            <xdr:cNvPr id="3074" name="Object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17</xdr:col>
      <xdr:colOff>266700</xdr:colOff>
      <xdr:row>22</xdr:row>
      <xdr:rowOff>133350</xdr:rowOff>
    </xdr:from>
    <xdr:to>
      <xdr:col>24</xdr:col>
      <xdr:colOff>571500</xdr:colOff>
      <xdr:row>36</xdr:row>
      <xdr:rowOff>133350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9525</xdr:colOff>
          <xdr:row>9</xdr:row>
          <xdr:rowOff>152400</xdr:rowOff>
        </xdr:from>
        <xdr:to>
          <xdr:col>20</xdr:col>
          <xdr:colOff>238125</xdr:colOff>
          <xdr:row>13</xdr:row>
          <xdr:rowOff>180975</xdr:rowOff>
        </xdr:to>
        <xdr:sp macro="" textlink="">
          <xdr:nvSpPr>
            <xdr:cNvPr id="3075" name="Object 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3.bin"/><Relationship Id="rId3" Type="http://schemas.openxmlformats.org/officeDocument/2006/relationships/vmlDrawing" Target="../drawings/vmlDrawing2.vml"/><Relationship Id="rId7" Type="http://schemas.openxmlformats.org/officeDocument/2006/relationships/image" Target="../media/image2.emf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oleObject" Target="../embeddings/oleObject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Relationship Id="rId9" Type="http://schemas.openxmlformats.org/officeDocument/2006/relationships/image" Target="../media/image3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K34"/>
  <sheetViews>
    <sheetView workbookViewId="0">
      <selection activeCell="H14" sqref="H14"/>
    </sheetView>
  </sheetViews>
  <sheetFormatPr defaultRowHeight="15" x14ac:dyDescent="0.25"/>
  <sheetData>
    <row r="2" spans="1:11" x14ac:dyDescent="0.25">
      <c r="A2" s="31" t="s">
        <v>93</v>
      </c>
      <c r="B2" s="1">
        <v>42</v>
      </c>
      <c r="C2" s="1" t="s">
        <v>2</v>
      </c>
    </row>
    <row r="3" spans="1:11" ht="17.25" x14ac:dyDescent="0.25">
      <c r="A3" s="32" t="s">
        <v>0</v>
      </c>
      <c r="B3" s="1">
        <v>997.77350000000001</v>
      </c>
      <c r="C3" s="1" t="s">
        <v>4</v>
      </c>
    </row>
    <row r="4" spans="1:11" ht="18.75" x14ac:dyDescent="0.35">
      <c r="A4" s="31" t="s">
        <v>94</v>
      </c>
      <c r="B4" s="1">
        <v>3.4889999999999999</v>
      </c>
      <c r="C4" s="1" t="s">
        <v>5</v>
      </c>
    </row>
    <row r="5" spans="1:11" ht="17.25" x14ac:dyDescent="0.25">
      <c r="A5" s="31" t="s">
        <v>1</v>
      </c>
      <c r="B5" s="1">
        <v>9.8066499999999994</v>
      </c>
      <c r="C5" s="1" t="s">
        <v>6</v>
      </c>
    </row>
    <row r="6" spans="1:11" x14ac:dyDescent="0.25">
      <c r="A6" s="31" t="s">
        <v>95</v>
      </c>
      <c r="B6" s="1">
        <v>4.4589999999999996</v>
      </c>
      <c r="C6" s="1" t="s">
        <v>3</v>
      </c>
    </row>
    <row r="7" spans="1:11" ht="17.25" x14ac:dyDescent="0.25">
      <c r="A7" s="32" t="s">
        <v>96</v>
      </c>
      <c r="B7" s="1">
        <v>0.95652999999999999</v>
      </c>
      <c r="C7" s="1" t="s">
        <v>7</v>
      </c>
    </row>
    <row r="12" spans="1:11" ht="18.75" x14ac:dyDescent="0.35">
      <c r="B12" s="4" t="s">
        <v>15</v>
      </c>
      <c r="C12" s="4" t="s">
        <v>16</v>
      </c>
      <c r="D12" s="4" t="s">
        <v>16</v>
      </c>
      <c r="E12" s="4" t="s">
        <v>34</v>
      </c>
      <c r="F12" s="4" t="s">
        <v>35</v>
      </c>
      <c r="G12" s="6" t="s">
        <v>13</v>
      </c>
      <c r="H12" s="6" t="s">
        <v>14</v>
      </c>
      <c r="J12" s="4" t="s">
        <v>36</v>
      </c>
      <c r="K12" s="6" t="s">
        <v>17</v>
      </c>
    </row>
    <row r="13" spans="1:11" ht="17.25" x14ac:dyDescent="0.25">
      <c r="B13" s="5" t="s">
        <v>8</v>
      </c>
      <c r="C13" s="5" t="s">
        <v>9</v>
      </c>
      <c r="D13" s="5" t="s">
        <v>10</v>
      </c>
      <c r="E13" s="5" t="s">
        <v>2</v>
      </c>
      <c r="F13" s="5" t="s">
        <v>18</v>
      </c>
      <c r="G13" s="7" t="s">
        <v>12</v>
      </c>
      <c r="H13" s="7" t="s">
        <v>12</v>
      </c>
      <c r="J13" s="5" t="s">
        <v>2</v>
      </c>
      <c r="K13" s="7" t="s">
        <v>2</v>
      </c>
    </row>
    <row r="14" spans="1:11" x14ac:dyDescent="0.25">
      <c r="B14" s="2">
        <v>0.55498714103916713</v>
      </c>
      <c r="C14" s="2">
        <v>0.255</v>
      </c>
      <c r="D14" s="2">
        <f>C14*$B$5</f>
        <v>2.5006957499999998</v>
      </c>
      <c r="E14" s="2">
        <f>B14/SQRT($B$5*$B$6)</f>
        <v>8.3927414976675177E-2</v>
      </c>
      <c r="F14" s="2">
        <f>B14*$B$6/$B$7</f>
        <v>2.5871511211291294</v>
      </c>
      <c r="G14" s="2">
        <f>D14/(0.5*$B$3*$B$4*B14^2)*1000</f>
        <v>4.6643601418900262</v>
      </c>
      <c r="H14" s="2">
        <f>0.075/(LOG10(F14*1000000)-2)^2*1000</f>
        <v>3.8514874221051967</v>
      </c>
      <c r="J14" s="2">
        <f>E14^4/(H14/1000)</f>
        <v>1.2882107027782192E-2</v>
      </c>
      <c r="K14" s="2">
        <f>G14/H14</f>
        <v>1.2110542319622892</v>
      </c>
    </row>
    <row r="15" spans="1:11" x14ac:dyDescent="0.25">
      <c r="B15" s="2">
        <v>0.62711009083773839</v>
      </c>
      <c r="C15" s="2">
        <v>0.32</v>
      </c>
      <c r="D15" s="2">
        <f t="shared" ref="D15:D34" si="0">C15*$B$5</f>
        <v>3.138128</v>
      </c>
      <c r="E15" s="2">
        <f t="shared" ref="E15:E34" si="1">B15/SQRT($B$5*$B$6)</f>
        <v>9.4834141078027165E-2</v>
      </c>
      <c r="F15" s="2">
        <f t="shared" ref="F15:F34" si="2">B15*$B$6/$B$7</f>
        <v>2.923362461235377</v>
      </c>
      <c r="G15" s="2">
        <f t="shared" ref="G15:G34" si="3">D15/(0.5*$B$3*$B$4*B15^2)*1000</f>
        <v>4.5843750124310336</v>
      </c>
      <c r="H15" s="2">
        <f t="shared" ref="H15:H34" si="4">0.075/(LOG10(F15*1000000)-2)^2*1000</f>
        <v>3.7605091214899806</v>
      </c>
      <c r="J15" s="2">
        <f t="shared" ref="J15:J34" si="5">E15^4/(H15/1000)</f>
        <v>2.1508603517016407E-2</v>
      </c>
      <c r="K15" s="2">
        <f t="shared" ref="K15:K34" si="6">G15/H15</f>
        <v>1.2190836039282422</v>
      </c>
    </row>
    <row r="16" spans="1:11" x14ac:dyDescent="0.25">
      <c r="B16" s="2">
        <v>0.68415661642685666</v>
      </c>
      <c r="C16" s="2">
        <v>0.375</v>
      </c>
      <c r="D16" s="2">
        <f t="shared" si="0"/>
        <v>3.67749375</v>
      </c>
      <c r="E16" s="8">
        <f t="shared" si="1"/>
        <v>0.10346094893006272</v>
      </c>
      <c r="F16" s="2">
        <f t="shared" si="2"/>
        <v>3.1892929156925072</v>
      </c>
      <c r="G16" s="2">
        <f t="shared" si="3"/>
        <v>4.5137545743293686</v>
      </c>
      <c r="H16" s="2">
        <f t="shared" si="4"/>
        <v>3.6976298541456476</v>
      </c>
      <c r="J16" s="8">
        <f t="shared" si="5"/>
        <v>3.0987204262337947E-2</v>
      </c>
      <c r="K16" s="8">
        <f t="shared" si="6"/>
        <v>1.2207156347108978</v>
      </c>
    </row>
    <row r="17" spans="2:11" x14ac:dyDescent="0.25">
      <c r="B17" s="2">
        <v>0.73674974589463682</v>
      </c>
      <c r="C17" s="2">
        <v>0.42874617737003062</v>
      </c>
      <c r="D17" s="2">
        <f t="shared" si="0"/>
        <v>4.2045637003058109</v>
      </c>
      <c r="E17" s="8">
        <f t="shared" si="1"/>
        <v>0.11141429608960146</v>
      </c>
      <c r="F17" s="2">
        <f t="shared" si="2"/>
        <v>3.4344632337137209</v>
      </c>
      <c r="G17" s="2">
        <f t="shared" si="3"/>
        <v>4.4501844106015991</v>
      </c>
      <c r="H17" s="2">
        <f t="shared" si="4"/>
        <v>3.6453748788478482</v>
      </c>
      <c r="J17" s="8">
        <f t="shared" si="5"/>
        <v>4.2268952625097798E-2</v>
      </c>
      <c r="K17" s="8">
        <f t="shared" si="6"/>
        <v>1.2207755192541727</v>
      </c>
    </row>
    <row r="18" spans="2:11" x14ac:dyDescent="0.25">
      <c r="B18" s="2">
        <v>0.83830297568768097</v>
      </c>
      <c r="C18" s="2">
        <v>0.55382262996941889</v>
      </c>
      <c r="D18" s="2">
        <f t="shared" si="0"/>
        <v>5.4311446941896016</v>
      </c>
      <c r="E18" s="8">
        <f t="shared" si="1"/>
        <v>0.12677158895066429</v>
      </c>
      <c r="F18" s="2">
        <f t="shared" si="2"/>
        <v>3.9078679901219711</v>
      </c>
      <c r="G18" s="2">
        <f t="shared" si="3"/>
        <v>4.4400352562716243</v>
      </c>
      <c r="H18" s="2">
        <f t="shared" si="4"/>
        <v>3.5568772335976262</v>
      </c>
      <c r="J18" s="8">
        <f t="shared" si="5"/>
        <v>7.2613748971347217E-2</v>
      </c>
      <c r="K18" s="8">
        <f t="shared" si="6"/>
        <v>1.2482958968422766</v>
      </c>
    </row>
    <row r="19" spans="2:11" x14ac:dyDescent="0.25">
      <c r="B19" s="2">
        <v>0.90284409201068572</v>
      </c>
      <c r="C19" s="2">
        <v>0.63924566768603464</v>
      </c>
      <c r="D19" s="2">
        <f t="shared" si="0"/>
        <v>6.2688585270132515</v>
      </c>
      <c r="E19" s="8">
        <f t="shared" si="1"/>
        <v>0.13653175932606476</v>
      </c>
      <c r="F19" s="2">
        <f t="shared" si="2"/>
        <v>4.2087355402085116</v>
      </c>
      <c r="G19" s="2">
        <f t="shared" si="3"/>
        <v>4.4183489154396538</v>
      </c>
      <c r="H19" s="2">
        <f t="shared" si="4"/>
        <v>3.5074955518101292</v>
      </c>
      <c r="J19" s="8">
        <f t="shared" si="5"/>
        <v>9.9068963011967284E-2</v>
      </c>
      <c r="K19" s="8">
        <f t="shared" si="6"/>
        <v>1.2596876746313923</v>
      </c>
    </row>
    <row r="20" spans="2:11" x14ac:dyDescent="0.25">
      <c r="B20" s="2">
        <v>0.98325976784161706</v>
      </c>
      <c r="C20" s="2">
        <v>0.75300713557594279</v>
      </c>
      <c r="D20" s="2">
        <f t="shared" si="0"/>
        <v>7.3844774260958186</v>
      </c>
      <c r="E20" s="8">
        <f t="shared" si="1"/>
        <v>0.1486925452200501</v>
      </c>
      <c r="F20" s="2">
        <f t="shared" si="2"/>
        <v>4.58360459662088</v>
      </c>
      <c r="G20" s="2">
        <f t="shared" si="3"/>
        <v>4.3881381240683499</v>
      </c>
      <c r="H20" s="2">
        <f t="shared" si="4"/>
        <v>3.4519496791794015</v>
      </c>
      <c r="J20" s="8">
        <f t="shared" si="5"/>
        <v>0.14160947926435163</v>
      </c>
      <c r="K20" s="8">
        <f t="shared" si="6"/>
        <v>1.2712057045720027</v>
      </c>
    </row>
    <row r="21" spans="2:11" x14ac:dyDescent="0.25">
      <c r="B21" s="2">
        <v>1.1171839843958888</v>
      </c>
      <c r="C21" s="2">
        <v>0.96350662589194691</v>
      </c>
      <c r="D21" s="2">
        <f t="shared" si="0"/>
        <v>9.4487722528032609</v>
      </c>
      <c r="E21" s="8">
        <f t="shared" si="1"/>
        <v>0.1689451104905367</v>
      </c>
      <c r="F21" s="2">
        <f t="shared" si="2"/>
        <v>5.2079112902065461</v>
      </c>
      <c r="G21" s="2">
        <f t="shared" si="3"/>
        <v>4.3493368030864703</v>
      </c>
      <c r="H21" s="2">
        <f t="shared" si="4"/>
        <v>3.3712539002194228</v>
      </c>
      <c r="J21" s="8">
        <f t="shared" si="5"/>
        <v>0.24165236336056639</v>
      </c>
      <c r="K21" s="8">
        <f t="shared" si="6"/>
        <v>1.2901243667240214</v>
      </c>
    </row>
    <row r="22" spans="2:11" x14ac:dyDescent="0.25">
      <c r="B22" s="2">
        <v>1.1982217775861943</v>
      </c>
      <c r="C22" s="2">
        <v>1.1060142711518857</v>
      </c>
      <c r="D22" s="2">
        <f t="shared" si="0"/>
        <v>10.846294852191638</v>
      </c>
      <c r="E22" s="8">
        <f t="shared" si="1"/>
        <v>0.18119997550442132</v>
      </c>
      <c r="F22" s="2">
        <f t="shared" si="2"/>
        <v>5.5856804347556688</v>
      </c>
      <c r="G22" s="2">
        <f t="shared" si="3"/>
        <v>4.3401431115177918</v>
      </c>
      <c r="H22" s="2">
        <f t="shared" si="4"/>
        <v>3.328195876799195</v>
      </c>
      <c r="J22" s="8">
        <f t="shared" si="5"/>
        <v>0.32390948105272349</v>
      </c>
      <c r="K22" s="8">
        <f t="shared" si="6"/>
        <v>1.3040527878100163</v>
      </c>
    </row>
    <row r="23" spans="2:11" x14ac:dyDescent="0.25">
      <c r="B23" s="2">
        <v>1.2771362663639336</v>
      </c>
      <c r="C23" s="2">
        <v>1.257900101936799</v>
      </c>
      <c r="D23" s="2">
        <f t="shared" si="0"/>
        <v>12.33578603465851</v>
      </c>
      <c r="E23" s="8">
        <f t="shared" si="1"/>
        <v>0.19313374578046832</v>
      </c>
      <c r="F23" s="2">
        <f t="shared" si="2"/>
        <v>5.9535514952137198</v>
      </c>
      <c r="G23" s="2">
        <f t="shared" si="3"/>
        <v>4.3449963273932104</v>
      </c>
      <c r="H23" s="2">
        <f t="shared" si="4"/>
        <v>3.2896919952828574</v>
      </c>
      <c r="J23" s="8">
        <f t="shared" si="5"/>
        <v>0.42293869056598699</v>
      </c>
      <c r="K23" s="8">
        <f t="shared" si="6"/>
        <v>1.3207912271494022</v>
      </c>
    </row>
    <row r="24" spans="2:11" x14ac:dyDescent="0.25">
      <c r="B24" s="2">
        <v>1.3737779294430061</v>
      </c>
      <c r="C24" s="2">
        <v>1.4648318042813455</v>
      </c>
      <c r="D24" s="2">
        <f t="shared" si="0"/>
        <v>14.365092813455655</v>
      </c>
      <c r="E24" s="2">
        <f t="shared" si="1"/>
        <v>0.20774829152667496</v>
      </c>
      <c r="F24" s="2">
        <f t="shared" si="2"/>
        <v>6.4040602881105286</v>
      </c>
      <c r="G24" s="2">
        <f t="shared" si="3"/>
        <v>4.3729290140462549</v>
      </c>
      <c r="H24" s="2">
        <f t="shared" si="4"/>
        <v>3.2464702522239608</v>
      </c>
      <c r="J24" s="2">
        <f t="shared" si="5"/>
        <v>0.5737707648357665</v>
      </c>
      <c r="K24" s="2">
        <f t="shared" si="6"/>
        <v>1.3469795421814277</v>
      </c>
    </row>
    <row r="25" spans="2:11" x14ac:dyDescent="0.25">
      <c r="B25" s="2">
        <v>1.4506849767904095</v>
      </c>
      <c r="C25" s="2">
        <v>1.6493374108053005</v>
      </c>
      <c r="D25" s="2">
        <f t="shared" si="0"/>
        <v>16.1744747196738</v>
      </c>
      <c r="E25" s="2">
        <f t="shared" si="1"/>
        <v>0.2193784883367679</v>
      </c>
      <c r="F25" s="2">
        <f t="shared" si="2"/>
        <v>6.7625733761705709</v>
      </c>
      <c r="G25" s="2">
        <f t="shared" si="3"/>
        <v>4.4155114911292159</v>
      </c>
      <c r="H25" s="2">
        <f t="shared" si="4"/>
        <v>3.2147474659694</v>
      </c>
      <c r="J25" s="2">
        <f t="shared" si="5"/>
        <v>0.72049222012262282</v>
      </c>
      <c r="K25" s="2">
        <f t="shared" si="6"/>
        <v>1.3735173720084817</v>
      </c>
    </row>
    <row r="26" spans="2:11" x14ac:dyDescent="0.25">
      <c r="B26" s="2">
        <v>1.5202831369309524</v>
      </c>
      <c r="C26" s="2">
        <v>1.8348623853211008</v>
      </c>
      <c r="D26" s="2">
        <f t="shared" si="0"/>
        <v>17.993853211009171</v>
      </c>
      <c r="E26" s="2">
        <f t="shared" si="1"/>
        <v>0.2299034054669041</v>
      </c>
      <c r="F26" s="2">
        <f t="shared" si="2"/>
        <v>7.0870150518803552</v>
      </c>
      <c r="G26" s="2">
        <f t="shared" si="3"/>
        <v>4.4727258310530686</v>
      </c>
      <c r="H26" s="2">
        <f t="shared" si="4"/>
        <v>3.1878274622958118</v>
      </c>
      <c r="J26" s="2">
        <f t="shared" si="5"/>
        <v>0.87636860243500714</v>
      </c>
      <c r="K26" s="2">
        <f t="shared" si="6"/>
        <v>1.4030639625119163</v>
      </c>
    </row>
    <row r="27" spans="2:11" x14ac:dyDescent="0.25">
      <c r="B27" s="2">
        <v>1.5687256210884053</v>
      </c>
      <c r="C27" s="2">
        <v>1.9765545361875636</v>
      </c>
      <c r="D27" s="2">
        <f t="shared" si="0"/>
        <v>19.38337854230377</v>
      </c>
      <c r="E27" s="2">
        <f t="shared" si="1"/>
        <v>0.2372290751441708</v>
      </c>
      <c r="F27" s="2">
        <f t="shared" si="2"/>
        <v>7.3128365492281464</v>
      </c>
      <c r="G27" s="2">
        <f t="shared" si="3"/>
        <v>4.5251456137949679</v>
      </c>
      <c r="H27" s="2">
        <f t="shared" si="4"/>
        <v>3.1699966070625423</v>
      </c>
      <c r="J27" s="2">
        <f t="shared" si="5"/>
        <v>0.99910898709946083</v>
      </c>
      <c r="K27" s="2">
        <f t="shared" si="6"/>
        <v>1.4274922577876719</v>
      </c>
    </row>
    <row r="28" spans="2:11" x14ac:dyDescent="0.25">
      <c r="B28" s="2">
        <v>1.6582774320180576</v>
      </c>
      <c r="C28" s="2">
        <v>2.2731906218144751</v>
      </c>
      <c r="D28" s="2">
        <f t="shared" si="0"/>
        <v>22.29238481141692</v>
      </c>
      <c r="E28" s="2">
        <f t="shared" si="1"/>
        <v>0.25077146458356009</v>
      </c>
      <c r="F28" s="2">
        <f t="shared" si="2"/>
        <v>7.730294992701241</v>
      </c>
      <c r="G28" s="2">
        <f t="shared" si="3"/>
        <v>4.6573535937405559</v>
      </c>
      <c r="H28" s="2">
        <f t="shared" si="4"/>
        <v>3.1388027817668136</v>
      </c>
      <c r="J28" s="2">
        <f t="shared" si="5"/>
        <v>1.2599358593167302</v>
      </c>
      <c r="K28" s="2">
        <f t="shared" si="6"/>
        <v>1.4837993711471604</v>
      </c>
    </row>
    <row r="29" spans="2:11" x14ac:dyDescent="0.25">
      <c r="B29" s="2">
        <v>1.7175465533744738</v>
      </c>
      <c r="C29" s="2">
        <v>2.5025484199796124</v>
      </c>
      <c r="D29" s="2">
        <f t="shared" si="0"/>
        <v>24.541616462793066</v>
      </c>
      <c r="E29" s="2">
        <f t="shared" si="1"/>
        <v>0.25973438241633889</v>
      </c>
      <c r="F29" s="2">
        <f t="shared" si="2"/>
        <v>8.0065863919550644</v>
      </c>
      <c r="G29" s="2">
        <f t="shared" si="3"/>
        <v>4.7795079803070672</v>
      </c>
      <c r="H29" s="2">
        <f t="shared" si="4"/>
        <v>3.1193077382058521</v>
      </c>
      <c r="J29" s="2">
        <f t="shared" si="5"/>
        <v>1.4590143070355541</v>
      </c>
      <c r="K29" s="2">
        <f t="shared" si="6"/>
        <v>1.5322335535435567</v>
      </c>
    </row>
    <row r="30" spans="2:11" x14ac:dyDescent="0.25">
      <c r="B30" s="2">
        <v>1.77398677303067</v>
      </c>
      <c r="C30" s="3">
        <v>2.7563710499490313</v>
      </c>
      <c r="D30" s="2">
        <f t="shared" si="0"/>
        <v>27.030766156982665</v>
      </c>
      <c r="E30" s="2">
        <f t="shared" si="1"/>
        <v>0.268269502216756</v>
      </c>
      <c r="F30" s="2">
        <f t="shared" si="2"/>
        <v>8.2696904654780887</v>
      </c>
      <c r="G30" s="2">
        <f t="shared" si="3"/>
        <v>4.9346307607927784</v>
      </c>
      <c r="H30" s="2">
        <f t="shared" si="4"/>
        <v>3.1015188446917721</v>
      </c>
      <c r="J30" s="2">
        <f t="shared" si="5"/>
        <v>1.6699781519995618</v>
      </c>
      <c r="K30" s="2">
        <f t="shared" si="6"/>
        <v>1.5910368461047286</v>
      </c>
    </row>
    <row r="31" spans="2:11" x14ac:dyDescent="0.25">
      <c r="B31" s="2">
        <v>1.8412197254445291</v>
      </c>
      <c r="C31" s="3">
        <v>3.1284403669724772</v>
      </c>
      <c r="D31" s="2">
        <f t="shared" si="0"/>
        <v>30.679519724770643</v>
      </c>
      <c r="E31" s="2">
        <f t="shared" si="1"/>
        <v>0.27843674300503723</v>
      </c>
      <c r="F31" s="2">
        <f t="shared" si="2"/>
        <v>8.5831063905545619</v>
      </c>
      <c r="G31" s="2">
        <f t="shared" si="3"/>
        <v>5.1991743295018988</v>
      </c>
      <c r="H31" s="2">
        <f t="shared" si="4"/>
        <v>3.0812402249367987</v>
      </c>
      <c r="J31" s="2">
        <f t="shared" si="5"/>
        <v>1.950655699933328</v>
      </c>
      <c r="K31" s="2">
        <f t="shared" si="6"/>
        <v>1.6873641618152451</v>
      </c>
    </row>
    <row r="32" spans="2:11" x14ac:dyDescent="0.25">
      <c r="B32" s="2">
        <v>1.9194595237833632</v>
      </c>
      <c r="C32" s="3">
        <v>3.7278287461773698</v>
      </c>
      <c r="D32" s="2">
        <f t="shared" si="0"/>
        <v>36.557511773700298</v>
      </c>
      <c r="E32" s="2">
        <f t="shared" si="1"/>
        <v>0.29026848384605841</v>
      </c>
      <c r="F32" s="2">
        <f t="shared" si="2"/>
        <v>8.9478322860234556</v>
      </c>
      <c r="G32" s="2">
        <f t="shared" si="3"/>
        <v>5.7005370488062779</v>
      </c>
      <c r="H32" s="2">
        <f t="shared" si="4"/>
        <v>3.0587887550467139</v>
      </c>
      <c r="J32" s="2">
        <f t="shared" si="5"/>
        <v>2.3208659291036584</v>
      </c>
      <c r="K32" s="2">
        <f t="shared" si="6"/>
        <v>1.8636582991881763</v>
      </c>
    </row>
    <row r="33" spans="2:11" x14ac:dyDescent="0.25">
      <c r="B33" s="2">
        <v>1.9728371564579499</v>
      </c>
      <c r="C33" s="3">
        <v>4.2262996941896027</v>
      </c>
      <c r="D33" s="2">
        <f t="shared" si="0"/>
        <v>41.445841896024469</v>
      </c>
      <c r="E33" s="2">
        <f t="shared" si="1"/>
        <v>0.29834046677446363</v>
      </c>
      <c r="F33" s="2">
        <f t="shared" si="2"/>
        <v>9.1966596767963349</v>
      </c>
      <c r="G33" s="2">
        <f t="shared" si="3"/>
        <v>6.11780386079118</v>
      </c>
      <c r="H33" s="2">
        <f t="shared" si="4"/>
        <v>3.0441247186638329</v>
      </c>
      <c r="J33" s="2">
        <f t="shared" si="5"/>
        <v>2.6024729122999197</v>
      </c>
      <c r="K33" s="2">
        <f t="shared" si="6"/>
        <v>2.0097086769416221</v>
      </c>
    </row>
    <row r="34" spans="2:11" x14ac:dyDescent="0.25">
      <c r="B34" s="2">
        <v>2.0034845681467388</v>
      </c>
      <c r="C34" s="3">
        <v>4.4709480122324159</v>
      </c>
      <c r="D34" s="2">
        <f t="shared" si="0"/>
        <v>43.845022324159018</v>
      </c>
      <c r="E34" s="2">
        <f t="shared" si="1"/>
        <v>0.3029750931442744</v>
      </c>
      <c r="F34" s="2">
        <f t="shared" si="2"/>
        <v>9.3395269247867887</v>
      </c>
      <c r="G34" s="2">
        <f t="shared" si="3"/>
        <v>6.2754569297053413</v>
      </c>
      <c r="H34" s="2">
        <f t="shared" si="4"/>
        <v>3.0359296939130052</v>
      </c>
      <c r="J34" s="2">
        <f t="shared" si="5"/>
        <v>2.775466570024868</v>
      </c>
      <c r="K34" s="2">
        <f t="shared" si="6"/>
        <v>2.0670626669278742</v>
      </c>
    </row>
  </sheetData>
  <pageMargins left="0.7" right="0.7" top="0.75" bottom="0.75" header="0.3" footer="0.3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B44"/>
  <sheetViews>
    <sheetView workbookViewId="0">
      <selection activeCell="Y24" sqref="Y24"/>
    </sheetView>
  </sheetViews>
  <sheetFormatPr defaultRowHeight="15" x14ac:dyDescent="0.25"/>
  <cols>
    <col min="27" max="27" width="9.5703125" bestFit="1" customWidth="1"/>
  </cols>
  <sheetData>
    <row r="3" spans="1:7" x14ac:dyDescent="0.25">
      <c r="A3" s="23" t="s">
        <v>28</v>
      </c>
      <c r="B3" s="26"/>
      <c r="C3" s="26"/>
      <c r="D3" s="26"/>
      <c r="E3" s="26"/>
      <c r="F3" s="27"/>
      <c r="G3" s="9">
        <v>42</v>
      </c>
    </row>
    <row r="4" spans="1:7" x14ac:dyDescent="0.25">
      <c r="A4" s="23" t="s">
        <v>29</v>
      </c>
      <c r="B4" s="24"/>
      <c r="C4" s="24"/>
      <c r="D4" s="24"/>
      <c r="E4" s="24"/>
      <c r="F4" s="25"/>
      <c r="G4" s="9">
        <v>22</v>
      </c>
    </row>
    <row r="5" spans="1:7" x14ac:dyDescent="0.25">
      <c r="A5" s="28" t="s">
        <v>21</v>
      </c>
      <c r="B5" s="28"/>
      <c r="C5" s="28"/>
      <c r="D5" s="28"/>
      <c r="E5" s="28"/>
      <c r="F5" s="28"/>
      <c r="G5" s="9">
        <v>4.4589999999999996</v>
      </c>
    </row>
    <row r="6" spans="1:7" x14ac:dyDescent="0.25">
      <c r="A6" s="28" t="s">
        <v>20</v>
      </c>
      <c r="B6" s="28"/>
      <c r="C6" s="28"/>
      <c r="D6" s="28"/>
      <c r="E6" s="28"/>
      <c r="F6" s="28"/>
      <c r="G6" s="9">
        <v>3.4889999999999999</v>
      </c>
    </row>
    <row r="7" spans="1:7" ht="17.25" x14ac:dyDescent="0.25">
      <c r="A7" s="23" t="s">
        <v>30</v>
      </c>
      <c r="B7" s="24"/>
      <c r="C7" s="24"/>
      <c r="D7" s="24"/>
      <c r="E7" s="24"/>
      <c r="F7" s="25"/>
      <c r="G7" s="9">
        <v>9.8066499999999994</v>
      </c>
    </row>
    <row r="8" spans="1:7" x14ac:dyDescent="0.25">
      <c r="A8" s="28" t="s">
        <v>19</v>
      </c>
      <c r="B8" s="28"/>
      <c r="C8" s="28"/>
      <c r="D8" s="28"/>
      <c r="E8" s="28"/>
      <c r="F8" s="28"/>
      <c r="G8" s="9">
        <v>997.77350000000001</v>
      </c>
    </row>
    <row r="9" spans="1:7" ht="17.25" x14ac:dyDescent="0.25">
      <c r="A9" s="28" t="s">
        <v>31</v>
      </c>
      <c r="B9" s="28"/>
      <c r="C9" s="28"/>
      <c r="D9" s="28"/>
      <c r="E9" s="28"/>
      <c r="F9" s="28"/>
      <c r="G9" s="9">
        <v>0.95652999999999999</v>
      </c>
    </row>
    <row r="10" spans="1:7" ht="18" x14ac:dyDescent="0.35">
      <c r="A10" s="28" t="s">
        <v>32</v>
      </c>
      <c r="B10" s="28"/>
      <c r="C10" s="28"/>
      <c r="D10" s="28"/>
      <c r="E10" s="28"/>
      <c r="F10" s="28"/>
      <c r="G10" s="9">
        <v>120</v>
      </c>
    </row>
    <row r="11" spans="1:7" x14ac:dyDescent="0.25">
      <c r="A11" s="23" t="s">
        <v>22</v>
      </c>
      <c r="B11" s="24"/>
      <c r="C11" s="24"/>
      <c r="D11" s="24"/>
      <c r="E11" s="24"/>
      <c r="F11" s="25"/>
      <c r="G11" s="9">
        <v>77.739999999999995</v>
      </c>
    </row>
    <row r="12" spans="1:7" ht="15.75" x14ac:dyDescent="0.3">
      <c r="A12" s="28" t="s">
        <v>23</v>
      </c>
      <c r="B12" s="28"/>
      <c r="C12" s="28"/>
      <c r="D12" s="28"/>
      <c r="E12" s="28"/>
      <c r="F12" s="28"/>
      <c r="G12" s="10">
        <f>(G6*G3^2+G11)/(G6*G3^2)</f>
        <v>1.0126312108869533</v>
      </c>
    </row>
    <row r="13" spans="1:7" x14ac:dyDescent="0.25">
      <c r="A13" s="28" t="s">
        <v>33</v>
      </c>
      <c r="B13" s="28"/>
      <c r="C13" s="28"/>
      <c r="D13" s="28"/>
      <c r="E13" s="28"/>
      <c r="F13" s="28"/>
      <c r="G13" s="10">
        <v>1.2</v>
      </c>
    </row>
    <row r="14" spans="1:7" x14ac:dyDescent="0.25">
      <c r="A14" s="29" t="s">
        <v>24</v>
      </c>
      <c r="B14" s="29"/>
      <c r="C14" s="29"/>
      <c r="D14" s="29"/>
      <c r="E14" s="29"/>
      <c r="F14" s="29"/>
      <c r="G14" s="9">
        <v>999.10260000000005</v>
      </c>
    </row>
    <row r="15" spans="1:7" x14ac:dyDescent="0.25">
      <c r="A15" s="29" t="s">
        <v>25</v>
      </c>
      <c r="B15" s="29"/>
      <c r="C15" s="29"/>
      <c r="D15" s="29"/>
      <c r="E15" s="29"/>
      <c r="F15" s="29"/>
      <c r="G15" s="9">
        <v>1026.021</v>
      </c>
    </row>
    <row r="16" spans="1:7" x14ac:dyDescent="0.25">
      <c r="A16" s="29" t="s">
        <v>26</v>
      </c>
      <c r="B16" s="29"/>
      <c r="C16" s="29"/>
      <c r="D16" s="29"/>
      <c r="E16" s="29"/>
      <c r="F16" s="29"/>
      <c r="G16" s="9">
        <v>1.1379999999999999</v>
      </c>
    </row>
    <row r="17" spans="1:28" x14ac:dyDescent="0.25">
      <c r="A17" s="29" t="s">
        <v>27</v>
      </c>
      <c r="B17" s="29"/>
      <c r="C17" s="29"/>
      <c r="D17" s="29"/>
      <c r="E17" s="29"/>
      <c r="F17" s="29"/>
      <c r="G17" s="9">
        <v>1.1892</v>
      </c>
    </row>
    <row r="20" spans="1:28" x14ac:dyDescent="0.25">
      <c r="B20" t="s">
        <v>39</v>
      </c>
      <c r="H20" s="11">
        <f>G4</f>
        <v>22</v>
      </c>
      <c r="I20" t="s">
        <v>51</v>
      </c>
      <c r="K20" t="s">
        <v>44</v>
      </c>
      <c r="Q20" s="11"/>
      <c r="S20" t="s">
        <v>50</v>
      </c>
    </row>
    <row r="22" spans="1:28" ht="18" x14ac:dyDescent="0.35">
      <c r="B22" s="4" t="s">
        <v>15</v>
      </c>
      <c r="C22" s="4" t="s">
        <v>16</v>
      </c>
      <c r="D22" s="4" t="s">
        <v>11</v>
      </c>
      <c r="E22" s="4" t="s">
        <v>35</v>
      </c>
      <c r="F22" s="6" t="s">
        <v>13</v>
      </c>
      <c r="G22" s="6" t="s">
        <v>14</v>
      </c>
      <c r="H22" s="6" t="s">
        <v>37</v>
      </c>
      <c r="I22" s="6" t="s">
        <v>38</v>
      </c>
      <c r="K22" s="4" t="s">
        <v>11</v>
      </c>
      <c r="L22" s="4" t="s">
        <v>35</v>
      </c>
      <c r="M22" s="6" t="s">
        <v>14</v>
      </c>
      <c r="N22" s="6" t="s">
        <v>37</v>
      </c>
      <c r="O22" s="6" t="s">
        <v>38</v>
      </c>
      <c r="P22" s="6" t="s">
        <v>13</v>
      </c>
      <c r="Q22" s="6" t="s">
        <v>16</v>
      </c>
      <c r="S22" s="4" t="s">
        <v>40</v>
      </c>
      <c r="T22" s="4" t="s">
        <v>11</v>
      </c>
      <c r="U22" s="4" t="s">
        <v>35</v>
      </c>
      <c r="V22" s="6" t="s">
        <v>97</v>
      </c>
      <c r="W22" s="6" t="s">
        <v>98</v>
      </c>
      <c r="X22" s="6" t="s">
        <v>43</v>
      </c>
      <c r="Y22" s="6" t="s">
        <v>38</v>
      </c>
      <c r="Z22" s="6" t="s">
        <v>45</v>
      </c>
      <c r="AA22" s="6" t="s">
        <v>46</v>
      </c>
      <c r="AB22" s="6" t="s">
        <v>48</v>
      </c>
    </row>
    <row r="23" spans="1:28" ht="17.25" x14ac:dyDescent="0.25">
      <c r="B23" s="5" t="s">
        <v>8</v>
      </c>
      <c r="C23" s="5" t="s">
        <v>10</v>
      </c>
      <c r="D23" s="5" t="s">
        <v>2</v>
      </c>
      <c r="E23" s="5" t="s">
        <v>18</v>
      </c>
      <c r="F23" s="7" t="s">
        <v>12</v>
      </c>
      <c r="G23" s="7" t="s">
        <v>12</v>
      </c>
      <c r="H23" s="7" t="s">
        <v>12</v>
      </c>
      <c r="I23" s="7" t="s">
        <v>12</v>
      </c>
      <c r="K23" s="5" t="s">
        <v>2</v>
      </c>
      <c r="L23" s="5" t="s">
        <v>18</v>
      </c>
      <c r="M23" s="7" t="s">
        <v>12</v>
      </c>
      <c r="N23" s="7" t="s">
        <v>12</v>
      </c>
      <c r="O23" s="7" t="s">
        <v>12</v>
      </c>
      <c r="P23" s="7" t="s">
        <v>12</v>
      </c>
      <c r="Q23" s="7" t="s">
        <v>10</v>
      </c>
      <c r="S23" s="5" t="s">
        <v>41</v>
      </c>
      <c r="T23" s="5" t="s">
        <v>2</v>
      </c>
      <c r="U23" s="5" t="s">
        <v>42</v>
      </c>
      <c r="V23" s="7" t="s">
        <v>12</v>
      </c>
      <c r="W23" s="7" t="s">
        <v>12</v>
      </c>
      <c r="X23" s="7" t="s">
        <v>12</v>
      </c>
      <c r="Y23" s="7" t="s">
        <v>12</v>
      </c>
      <c r="Z23" s="7" t="s">
        <v>12</v>
      </c>
      <c r="AA23" s="7" t="s">
        <v>47</v>
      </c>
      <c r="AB23" s="7" t="s">
        <v>49</v>
      </c>
    </row>
    <row r="24" spans="1:28" x14ac:dyDescent="0.25">
      <c r="B24" s="2">
        <v>0.55498714103916713</v>
      </c>
      <c r="C24" s="2">
        <v>2.5006957499999998</v>
      </c>
      <c r="D24" s="2">
        <f>B24/SQRT($G$7*$G$5)</f>
        <v>8.3927414976675177E-2</v>
      </c>
      <c r="E24" s="2">
        <f>B24*$G$5/$G$9</f>
        <v>2.5871511211291294</v>
      </c>
      <c r="F24" s="2">
        <f>C24/(0.5*$G$8*$G$6*B24^2)*1000</f>
        <v>4.6643601418900262</v>
      </c>
      <c r="G24" s="2">
        <f>0.075/(LOG10(E24*1000000)-2)^2*1000</f>
        <v>3.8514874221051967</v>
      </c>
      <c r="H24" s="2">
        <f>G24*$G$13</f>
        <v>4.6217849065262362</v>
      </c>
      <c r="I24" s="2">
        <f>F24-H24</f>
        <v>4.2575235363790043E-2</v>
      </c>
      <c r="K24" s="2">
        <f>D24</f>
        <v>8.3927414976675177E-2</v>
      </c>
      <c r="L24" s="2">
        <f>B24*$G$5/$G$16</f>
        <v>2.1745937274988103</v>
      </c>
      <c r="M24" s="2">
        <f>0.075/(LOG10(L24*1000000)-2)^2*1000</f>
        <v>3.9866369945160702</v>
      </c>
      <c r="N24" s="2">
        <f>M24*$G$13</f>
        <v>4.7839643934192839</v>
      </c>
      <c r="O24" s="2">
        <f>I24</f>
        <v>4.2575235363790043E-2</v>
      </c>
      <c r="P24" s="2">
        <f>N24+O24</f>
        <v>4.826539628783074</v>
      </c>
      <c r="Q24" s="2">
        <f>P24*0.5*$G$14*$G$6*B24^2/1000</f>
        <v>2.5910916854371822</v>
      </c>
      <c r="S24" s="2">
        <f>B24*SQRT($G$3)/0.5144</f>
        <v>6.9920834992720726</v>
      </c>
      <c r="T24" s="2">
        <f>K24</f>
        <v>8.3927414976675177E-2</v>
      </c>
      <c r="U24" s="2">
        <f>0.5144*S24*$G$3*$G$5/$G$17/100</f>
        <v>5.6642110657907976</v>
      </c>
      <c r="V24" s="2">
        <f>0.075/(LOG10(U24*100000000)-2)^2*1000</f>
        <v>1.6445604076186999</v>
      </c>
      <c r="W24" s="2">
        <f>V24*$G$13</f>
        <v>1.9734724891424398</v>
      </c>
      <c r="X24" s="2">
        <f>105*(($G$10/1000000)/($G$5*$G$3))^0.3333333-0.64</f>
        <v>0.26522040135328162</v>
      </c>
      <c r="Y24" s="2">
        <f>O24</f>
        <v>4.2575235363790043E-2</v>
      </c>
      <c r="Z24" s="2">
        <f>$G$12*(W24+X24)+Y24</f>
        <v>2.3095455278704859</v>
      </c>
      <c r="AA24" s="13">
        <f>Z24*0.5*$G$15/1000*($G$6*$G$3^2)*(S24*0.5144)^2/1000</f>
        <v>94.333829273561534</v>
      </c>
      <c r="AB24" s="12">
        <f>AA24*(S24*0.5144)</f>
        <v>339.29310170305934</v>
      </c>
    </row>
    <row r="25" spans="1:28" x14ac:dyDescent="0.25">
      <c r="B25" s="2">
        <v>0.62711009083773839</v>
      </c>
      <c r="C25" s="2">
        <v>3.138128</v>
      </c>
      <c r="D25" s="2">
        <f t="shared" ref="D25:D44" si="0">B25/SQRT($G$7*$G$5)</f>
        <v>9.4834141078027165E-2</v>
      </c>
      <c r="E25" s="2">
        <f t="shared" ref="E25:E44" si="1">B25*$G$5/$G$9</f>
        <v>2.923362461235377</v>
      </c>
      <c r="F25" s="2">
        <f t="shared" ref="F25:F44" si="2">C25/(0.5*$G$8*$G$6*B25^2)*1000</f>
        <v>4.5843750124310336</v>
      </c>
      <c r="G25" s="2">
        <f t="shared" ref="G25:G44" si="3">0.075/(LOG10(E25*1000000)-2)^2*1000</f>
        <v>3.7605091214899806</v>
      </c>
      <c r="H25" s="2">
        <f t="shared" ref="H25:H44" si="4">G25*$G$13</f>
        <v>4.5126109457879764</v>
      </c>
      <c r="I25" s="2">
        <f t="shared" ref="I25:I44" si="5">F25-H25</f>
        <v>7.1764066643057234E-2</v>
      </c>
      <c r="K25" s="2">
        <f t="shared" ref="K25:K44" si="6">D25</f>
        <v>9.4834141078027165E-2</v>
      </c>
      <c r="L25" s="2">
        <f t="shared" ref="L24:L44" si="7">B25*$G$5/$G$16</f>
        <v>2.4571914719204533</v>
      </c>
      <c r="M25" s="2">
        <f t="shared" ref="M25:M44" si="8">0.075/(LOG10(L25*1000000)-2)^2*1000</f>
        <v>3.8908578863499734</v>
      </c>
      <c r="N25" s="2">
        <f t="shared" ref="N25" si="9">M25*$G$13</f>
        <v>4.6690294636199683</v>
      </c>
      <c r="O25" s="2">
        <f t="shared" ref="O25:O44" si="10">I25</f>
        <v>7.1764066643057234E-2</v>
      </c>
      <c r="P25" s="2">
        <f t="shared" ref="P25:P44" si="11">N25+O25</f>
        <v>4.7407935302630255</v>
      </c>
      <c r="Q25" s="2">
        <f t="shared" ref="Q25:Q44" si="12">P25*0.5*$G$14*$G$6*B25^2/1000</f>
        <v>3.2495235035666976</v>
      </c>
      <c r="S25" s="2">
        <f t="shared" ref="S25:S44" si="13">B25*SQRT($G$3)/0.5144</f>
        <v>7.9007346191181611</v>
      </c>
      <c r="T25" s="2">
        <f t="shared" ref="T25:T44" si="14">K25</f>
        <v>9.4834141078027165E-2</v>
      </c>
      <c r="U25" s="2">
        <f t="shared" ref="U25:U44" si="15">0.5144*S25*$G$3*$G$5/$G$17/100</f>
        <v>6.4002994904372175</v>
      </c>
      <c r="V25" s="2">
        <f t="shared" ref="V25:V44" si="16">0.075/(LOG10(U25*100000000)-2)^2*1000</f>
        <v>1.619018503256977</v>
      </c>
      <c r="W25" s="2">
        <f t="shared" ref="W25:W44" si="17">V25*$G$13</f>
        <v>1.9428222039083725</v>
      </c>
      <c r="X25" s="2">
        <f t="shared" ref="X25:X44" si="18">105*(($G$10/1000000)/($G$5*$G$3))^0.3333333-0.64</f>
        <v>0.26522040135328162</v>
      </c>
      <c r="Y25" s="2">
        <f t="shared" ref="Y25:Y44" si="19">O25</f>
        <v>7.1764066643057234E-2</v>
      </c>
      <c r="Z25" s="2">
        <f t="shared" ref="Z25:Z44" si="20">$G$12*(W25+X25)+Y25</f>
        <v>2.3076969236991491</v>
      </c>
      <c r="AA25" s="13">
        <f t="shared" ref="AA25:AA44" si="21">Z25*0.5*$G$15/1000*($G$6*$G$3^2)*(S25*0.5144)^2/1000</f>
        <v>120.34871124486497</v>
      </c>
      <c r="AB25" s="12">
        <f t="shared" ref="AB25:AB44" si="22">AA25*(S25*0.5144)</f>
        <v>489.11375715117913</v>
      </c>
    </row>
    <row r="26" spans="1:28" x14ac:dyDescent="0.25">
      <c r="B26" s="2">
        <v>0.68415661642685666</v>
      </c>
      <c r="C26" s="2">
        <v>3.67749375</v>
      </c>
      <c r="D26" s="2">
        <f t="shared" si="0"/>
        <v>0.10346094893006272</v>
      </c>
      <c r="E26" s="2">
        <f t="shared" si="1"/>
        <v>3.1892929156925072</v>
      </c>
      <c r="F26" s="2">
        <f t="shared" si="2"/>
        <v>4.5137545743293686</v>
      </c>
      <c r="G26" s="2">
        <f t="shared" si="3"/>
        <v>3.6976298541456476</v>
      </c>
      <c r="H26" s="2">
        <f t="shared" si="4"/>
        <v>4.4371558249747771</v>
      </c>
      <c r="I26" s="2">
        <f t="shared" si="5"/>
        <v>7.6598749354591433E-2</v>
      </c>
      <c r="K26" s="2">
        <f t="shared" si="6"/>
        <v>0.10346094893006272</v>
      </c>
      <c r="L26" s="2">
        <f t="shared" si="7"/>
        <v>2.6807155998658647</v>
      </c>
      <c r="M26" s="2">
        <f t="shared" si="8"/>
        <v>3.8246954159016968</v>
      </c>
      <c r="N26" s="2">
        <f t="shared" ref="N26" si="23">M26*$G$13</f>
        <v>4.5896344990820364</v>
      </c>
      <c r="O26" s="2">
        <f t="shared" si="10"/>
        <v>7.6598749354591433E-2</v>
      </c>
      <c r="P26" s="2">
        <f t="shared" si="11"/>
        <v>4.6662332484366278</v>
      </c>
      <c r="Q26" s="2">
        <f t="shared" si="12"/>
        <v>3.8067869291944945</v>
      </c>
      <c r="S26" s="2">
        <f t="shared" si="13"/>
        <v>8.6194432895850426</v>
      </c>
      <c r="T26" s="2">
        <f t="shared" si="14"/>
        <v>0.10346094893006272</v>
      </c>
      <c r="U26" s="2">
        <f t="shared" si="15"/>
        <v>6.9825175953500249</v>
      </c>
      <c r="V26" s="2">
        <f t="shared" si="16"/>
        <v>1.601178440460197</v>
      </c>
      <c r="W26" s="2">
        <f t="shared" si="17"/>
        <v>1.9214141285522364</v>
      </c>
      <c r="X26" s="2">
        <f t="shared" si="18"/>
        <v>0.26522040135328162</v>
      </c>
      <c r="Y26" s="2">
        <f t="shared" si="19"/>
        <v>7.6598749354591433E-2</v>
      </c>
      <c r="Z26" s="2">
        <f t="shared" si="20"/>
        <v>2.29085312114004</v>
      </c>
      <c r="AA26" s="13">
        <f t="shared" si="21"/>
        <v>142.19469779083991</v>
      </c>
      <c r="AB26" s="12">
        <f t="shared" si="22"/>
        <v>630.46877036901867</v>
      </c>
    </row>
    <row r="27" spans="1:28" x14ac:dyDescent="0.25">
      <c r="B27" s="2">
        <v>0.73674974589463682</v>
      </c>
      <c r="C27" s="2">
        <v>4.2045637003058109</v>
      </c>
      <c r="D27" s="2">
        <f t="shared" si="0"/>
        <v>0.11141429608960146</v>
      </c>
      <c r="E27" s="2">
        <f t="shared" si="1"/>
        <v>3.4344632337137209</v>
      </c>
      <c r="F27" s="2">
        <f t="shared" si="2"/>
        <v>4.4501844106015991</v>
      </c>
      <c r="G27" s="2">
        <f t="shared" si="3"/>
        <v>3.6453748788478482</v>
      </c>
      <c r="H27" s="2">
        <f t="shared" si="4"/>
        <v>4.374449854617418</v>
      </c>
      <c r="I27" s="2">
        <f t="shared" si="5"/>
        <v>7.5734555984181107E-2</v>
      </c>
      <c r="K27" s="2">
        <f t="shared" si="6"/>
        <v>0.11141429608960146</v>
      </c>
      <c r="L27" s="2">
        <f t="shared" si="7"/>
        <v>2.8867900851882125</v>
      </c>
      <c r="M27" s="2">
        <f t="shared" si="8"/>
        <v>3.7697338401756939</v>
      </c>
      <c r="N27" s="2">
        <f t="shared" ref="N27" si="24">M27*$G$13</f>
        <v>4.5236806082108325</v>
      </c>
      <c r="O27" s="2">
        <f t="shared" si="10"/>
        <v>7.5734555984181107E-2</v>
      </c>
      <c r="P27" s="2">
        <f t="shared" si="11"/>
        <v>4.5994151641950136</v>
      </c>
      <c r="Q27" s="2">
        <f t="shared" si="12"/>
        <v>4.3513464737688778</v>
      </c>
      <c r="S27" s="2">
        <f t="shared" si="13"/>
        <v>9.2820452230968549</v>
      </c>
      <c r="T27" s="2">
        <f t="shared" si="14"/>
        <v>0.11141429608960146</v>
      </c>
      <c r="U27" s="2">
        <f t="shared" si="15"/>
        <v>7.519284240714418</v>
      </c>
      <c r="V27" s="2">
        <f t="shared" si="16"/>
        <v>1.586233916293015</v>
      </c>
      <c r="W27" s="2">
        <f t="shared" si="17"/>
        <v>1.903480699551618</v>
      </c>
      <c r="X27" s="2">
        <f t="shared" si="18"/>
        <v>0.26522040135328162</v>
      </c>
      <c r="Y27" s="2">
        <f t="shared" si="19"/>
        <v>7.5734555984181107E-2</v>
      </c>
      <c r="Z27" s="2">
        <f t="shared" si="20"/>
        <v>2.2718289778453782</v>
      </c>
      <c r="AA27" s="13">
        <f t="shared" si="21"/>
        <v>163.52747050550283</v>
      </c>
      <c r="AB27" s="12">
        <f t="shared" si="22"/>
        <v>780.79200724624741</v>
      </c>
    </row>
    <row r="28" spans="1:28" x14ac:dyDescent="0.25">
      <c r="B28" s="2">
        <v>0.83830297568768097</v>
      </c>
      <c r="C28" s="2">
        <v>5.4311446941896016</v>
      </c>
      <c r="D28" s="2">
        <f t="shared" si="0"/>
        <v>0.12677158895066429</v>
      </c>
      <c r="E28" s="2">
        <f t="shared" si="1"/>
        <v>3.9078679901219711</v>
      </c>
      <c r="F28" s="2">
        <f t="shared" si="2"/>
        <v>4.4400352562716243</v>
      </c>
      <c r="G28" s="2">
        <f t="shared" si="3"/>
        <v>3.5568772335976262</v>
      </c>
      <c r="H28" s="2">
        <f t="shared" si="4"/>
        <v>4.2682526803171514</v>
      </c>
      <c r="I28" s="2">
        <f t="shared" si="5"/>
        <v>0.17178257595447288</v>
      </c>
      <c r="K28" s="2">
        <f t="shared" si="6"/>
        <v>0.12677158895066429</v>
      </c>
      <c r="L28" s="2">
        <f t="shared" si="7"/>
        <v>3.2847038388324865</v>
      </c>
      <c r="M28" s="2">
        <f t="shared" si="8"/>
        <v>3.676698023071725</v>
      </c>
      <c r="N28" s="2">
        <f t="shared" ref="N28" si="25">M28*$G$13</f>
        <v>4.41203762768607</v>
      </c>
      <c r="O28" s="2">
        <f t="shared" si="10"/>
        <v>0.17178257595447288</v>
      </c>
      <c r="P28" s="2">
        <f t="shared" si="11"/>
        <v>4.5838202036405429</v>
      </c>
      <c r="Q28" s="2">
        <f t="shared" si="12"/>
        <v>5.6144943990372633</v>
      </c>
      <c r="S28" s="2">
        <f t="shared" si="13"/>
        <v>10.561477861849863</v>
      </c>
      <c r="T28" s="2">
        <f t="shared" si="14"/>
        <v>0.12677158895066429</v>
      </c>
      <c r="U28" s="2">
        <f t="shared" si="15"/>
        <v>8.5557387554685924</v>
      </c>
      <c r="V28" s="2">
        <f t="shared" si="16"/>
        <v>1.5606728988869851</v>
      </c>
      <c r="W28" s="2">
        <f t="shared" si="17"/>
        <v>1.872807478664382</v>
      </c>
      <c r="X28" s="2">
        <f t="shared" si="18"/>
        <v>0.26522040135328162</v>
      </c>
      <c r="Y28" s="2">
        <f t="shared" si="19"/>
        <v>0.17178257595447288</v>
      </c>
      <c r="Z28" s="2">
        <f t="shared" si="20"/>
        <v>2.3368163370068253</v>
      </c>
      <c r="AA28" s="13">
        <f t="shared" si="21"/>
        <v>217.77182488250688</v>
      </c>
      <c r="AB28" s="12">
        <f t="shared" si="22"/>
        <v>1183.1160429426304</v>
      </c>
    </row>
    <row r="29" spans="1:28" x14ac:dyDescent="0.25">
      <c r="B29" s="2">
        <v>0.90284409201068572</v>
      </c>
      <c r="C29" s="2">
        <v>6.2688585270132515</v>
      </c>
      <c r="D29" s="2">
        <f t="shared" si="0"/>
        <v>0.13653175932606476</v>
      </c>
      <c r="E29" s="2">
        <f t="shared" si="1"/>
        <v>4.2087355402085116</v>
      </c>
      <c r="F29" s="2">
        <f t="shared" si="2"/>
        <v>4.4183489154396538</v>
      </c>
      <c r="G29" s="2">
        <f t="shared" si="3"/>
        <v>3.5074955518101292</v>
      </c>
      <c r="H29" s="2">
        <f t="shared" si="4"/>
        <v>4.208994662172155</v>
      </c>
      <c r="I29" s="2">
        <f t="shared" si="5"/>
        <v>0.20935425326749879</v>
      </c>
      <c r="K29" s="2">
        <f t="shared" si="6"/>
        <v>0.13653175932606476</v>
      </c>
      <c r="L29" s="2">
        <f t="shared" si="7"/>
        <v>3.537593854372274</v>
      </c>
      <c r="M29" s="2">
        <f t="shared" si="8"/>
        <v>3.624809202757425</v>
      </c>
      <c r="N29" s="2">
        <f t="shared" ref="N29" si="26">M29*$G$13</f>
        <v>4.3497710433089098</v>
      </c>
      <c r="O29" s="2">
        <f t="shared" si="10"/>
        <v>0.20935425326749879</v>
      </c>
      <c r="P29" s="2">
        <f t="shared" si="11"/>
        <v>4.5591252965764086</v>
      </c>
      <c r="Q29" s="2">
        <f t="shared" si="12"/>
        <v>6.4772119997896951</v>
      </c>
      <c r="S29" s="2">
        <f t="shared" si="13"/>
        <v>11.37460818703488</v>
      </c>
      <c r="T29" s="2">
        <f t="shared" si="14"/>
        <v>0.13653175932606476</v>
      </c>
      <c r="U29" s="2">
        <f t="shared" si="15"/>
        <v>9.2144468195703055</v>
      </c>
      <c r="V29" s="2">
        <f t="shared" si="16"/>
        <v>1.546269575494533</v>
      </c>
      <c r="W29" s="2">
        <f t="shared" si="17"/>
        <v>1.8555234905934395</v>
      </c>
      <c r="X29" s="2">
        <f t="shared" si="18"/>
        <v>0.26522040135328162</v>
      </c>
      <c r="Y29" s="2">
        <f t="shared" si="19"/>
        <v>0.20935425326749879</v>
      </c>
      <c r="Z29" s="2">
        <f t="shared" si="20"/>
        <v>2.356885708550617</v>
      </c>
      <c r="AA29" s="13">
        <f t="shared" si="21"/>
        <v>254.76463332094519</v>
      </c>
      <c r="AB29" s="12">
        <f t="shared" si="22"/>
        <v>1490.6529514984079</v>
      </c>
    </row>
    <row r="30" spans="1:28" x14ac:dyDescent="0.25">
      <c r="B30" s="2">
        <v>0.98325976784161706</v>
      </c>
      <c r="C30" s="2">
        <v>7.3844774260958186</v>
      </c>
      <c r="D30" s="2">
        <f t="shared" si="0"/>
        <v>0.1486925452200501</v>
      </c>
      <c r="E30" s="2">
        <f t="shared" si="1"/>
        <v>4.58360459662088</v>
      </c>
      <c r="F30" s="2">
        <f t="shared" si="2"/>
        <v>4.3881381240683499</v>
      </c>
      <c r="G30" s="2">
        <f t="shared" si="3"/>
        <v>3.4519496791794015</v>
      </c>
      <c r="H30" s="2">
        <f t="shared" si="4"/>
        <v>4.142339615015282</v>
      </c>
      <c r="I30" s="2">
        <f t="shared" si="5"/>
        <v>0.24579850905306788</v>
      </c>
      <c r="K30" s="2">
        <f t="shared" si="6"/>
        <v>0.1486925452200501</v>
      </c>
      <c r="L30" s="2">
        <f t="shared" si="7"/>
        <v>3.8526848021140339</v>
      </c>
      <c r="M30" s="2">
        <f t="shared" si="8"/>
        <v>3.5664649536649762</v>
      </c>
      <c r="N30" s="2">
        <f t="shared" ref="N30" si="27">M30*$G$13</f>
        <v>4.2797579443979714</v>
      </c>
      <c r="O30" s="2">
        <f t="shared" si="10"/>
        <v>0.24579850905306788</v>
      </c>
      <c r="P30" s="2">
        <f t="shared" si="11"/>
        <v>4.5255564534510393</v>
      </c>
      <c r="Q30" s="2">
        <f t="shared" si="12"/>
        <v>7.6258733566468369</v>
      </c>
      <c r="S30" s="2">
        <f t="shared" si="13"/>
        <v>12.387736381334046</v>
      </c>
      <c r="T30" s="2">
        <f t="shared" si="14"/>
        <v>0.1486925452200501</v>
      </c>
      <c r="U30" s="2">
        <f t="shared" si="15"/>
        <v>10.035170989956914</v>
      </c>
      <c r="V30" s="2">
        <f t="shared" si="16"/>
        <v>1.5299456506697426</v>
      </c>
      <c r="W30" s="2">
        <f t="shared" si="17"/>
        <v>1.835934780803691</v>
      </c>
      <c r="X30" s="2">
        <f t="shared" si="18"/>
        <v>0.26522040135328162</v>
      </c>
      <c r="Y30" s="2">
        <f t="shared" si="19"/>
        <v>0.24579850905306788</v>
      </c>
      <c r="Z30" s="2">
        <f t="shared" si="20"/>
        <v>2.3734938254220799</v>
      </c>
      <c r="AA30" s="13">
        <f t="shared" si="21"/>
        <v>304.29844976792572</v>
      </c>
      <c r="AB30" s="12">
        <f t="shared" si="22"/>
        <v>1939.0662817552627</v>
      </c>
    </row>
    <row r="31" spans="1:28" x14ac:dyDescent="0.25">
      <c r="B31" s="2">
        <v>1.1171839843958888</v>
      </c>
      <c r="C31" s="2">
        <v>9.4487722528032609</v>
      </c>
      <c r="D31" s="2">
        <f t="shared" si="0"/>
        <v>0.1689451104905367</v>
      </c>
      <c r="E31" s="2">
        <f t="shared" si="1"/>
        <v>5.2079112902065461</v>
      </c>
      <c r="F31" s="2">
        <f t="shared" si="2"/>
        <v>4.3493368030864703</v>
      </c>
      <c r="G31" s="2">
        <f t="shared" si="3"/>
        <v>3.3712539002194228</v>
      </c>
      <c r="H31" s="2">
        <f t="shared" si="4"/>
        <v>4.0455046802633072</v>
      </c>
      <c r="I31" s="2">
        <f t="shared" si="5"/>
        <v>0.30383212282316308</v>
      </c>
      <c r="K31" s="2">
        <f t="shared" si="6"/>
        <v>0.1689451104905367</v>
      </c>
      <c r="L31" s="2">
        <f t="shared" si="7"/>
        <v>4.3774370706689529</v>
      </c>
      <c r="M31" s="2">
        <f t="shared" si="8"/>
        <v>3.4817450744325047</v>
      </c>
      <c r="N31" s="2">
        <f t="shared" ref="N31" si="28">M31*$G$13</f>
        <v>4.1780940893190053</v>
      </c>
      <c r="O31" s="2">
        <f t="shared" si="10"/>
        <v>0.30383212282316308</v>
      </c>
      <c r="P31" s="2">
        <f t="shared" si="11"/>
        <v>4.4819262121421684</v>
      </c>
      <c r="Q31" s="2">
        <f t="shared" si="12"/>
        <v>9.7497878893132892</v>
      </c>
      <c r="S31" s="2">
        <f t="shared" si="13"/>
        <v>14.074999446508338</v>
      </c>
      <c r="T31" s="2">
        <f t="shared" si="14"/>
        <v>0.1689451104905367</v>
      </c>
      <c r="U31" s="2">
        <f t="shared" si="15"/>
        <v>11.402004513277296</v>
      </c>
      <c r="V31" s="2">
        <f t="shared" si="16"/>
        <v>1.5059943460965026</v>
      </c>
      <c r="W31" s="2">
        <f t="shared" si="17"/>
        <v>1.807193215315803</v>
      </c>
      <c r="X31" s="2">
        <f t="shared" si="18"/>
        <v>0.26522040135328162</v>
      </c>
      <c r="Y31" s="2">
        <f t="shared" si="19"/>
        <v>0.30383212282316308</v>
      </c>
      <c r="Z31" s="2">
        <f t="shared" si="20"/>
        <v>2.4024228329293886</v>
      </c>
      <c r="AA31" s="13">
        <f t="shared" si="21"/>
        <v>397.62523964018362</v>
      </c>
      <c r="AB31" s="12">
        <f t="shared" si="22"/>
        <v>2878.8781943277527</v>
      </c>
    </row>
    <row r="32" spans="1:28" x14ac:dyDescent="0.25">
      <c r="B32" s="2">
        <v>1.1982217775861943</v>
      </c>
      <c r="C32" s="2">
        <v>10.846294852191638</v>
      </c>
      <c r="D32" s="2">
        <f t="shared" si="0"/>
        <v>0.18119997550442132</v>
      </c>
      <c r="E32" s="2">
        <f t="shared" si="1"/>
        <v>5.5856804347556688</v>
      </c>
      <c r="F32" s="2">
        <f t="shared" si="2"/>
        <v>4.3401431115177918</v>
      </c>
      <c r="G32" s="2">
        <f t="shared" si="3"/>
        <v>3.328195876799195</v>
      </c>
      <c r="H32" s="2">
        <f t="shared" si="4"/>
        <v>3.9938350521590338</v>
      </c>
      <c r="I32" s="2">
        <f t="shared" si="5"/>
        <v>0.34630805935875797</v>
      </c>
      <c r="K32" s="2">
        <f t="shared" si="6"/>
        <v>0.18119997550442132</v>
      </c>
      <c r="L32" s="2">
        <f t="shared" si="7"/>
        <v>4.6949656469743761</v>
      </c>
      <c r="M32" s="2">
        <f t="shared" si="8"/>
        <v>3.4365600431383236</v>
      </c>
      <c r="N32" s="2">
        <f t="shared" ref="N32" si="29">M32*$G$13</f>
        <v>4.1238720517659884</v>
      </c>
      <c r="O32" s="2">
        <f t="shared" si="10"/>
        <v>0.34630805935875797</v>
      </c>
      <c r="P32" s="2">
        <f t="shared" si="11"/>
        <v>4.4701801111247459</v>
      </c>
      <c r="Q32" s="2">
        <f t="shared" si="12"/>
        <v>11.186146481392596</v>
      </c>
      <c r="S32" s="2">
        <f t="shared" si="13"/>
        <v>15.095965473797552</v>
      </c>
      <c r="T32" s="2">
        <f t="shared" si="14"/>
        <v>0.18119997550442132</v>
      </c>
      <c r="U32" s="2">
        <f t="shared" si="15"/>
        <v>12.229078027226333</v>
      </c>
      <c r="V32" s="2">
        <f t="shared" si="16"/>
        <v>1.4930974200127922</v>
      </c>
      <c r="W32" s="2">
        <f t="shared" si="17"/>
        <v>1.7917169040153507</v>
      </c>
      <c r="X32" s="2">
        <f t="shared" si="18"/>
        <v>0.26522040135328162</v>
      </c>
      <c r="Y32" s="2">
        <f t="shared" si="19"/>
        <v>0.34630805935875797</v>
      </c>
      <c r="Z32" s="2">
        <f t="shared" si="20"/>
        <v>2.4292269736127428</v>
      </c>
      <c r="AA32" s="13">
        <f t="shared" si="21"/>
        <v>462.50625088270647</v>
      </c>
      <c r="AB32" s="12">
        <f t="shared" si="22"/>
        <v>3591.5296862547116</v>
      </c>
    </row>
    <row r="33" spans="2:28" x14ac:dyDescent="0.25">
      <c r="B33" s="2">
        <v>1.2771362663639336</v>
      </c>
      <c r="C33" s="2">
        <v>12.33578603465851</v>
      </c>
      <c r="D33" s="2">
        <f t="shared" si="0"/>
        <v>0.19313374578046832</v>
      </c>
      <c r="E33" s="2">
        <f t="shared" si="1"/>
        <v>5.9535514952137198</v>
      </c>
      <c r="F33" s="2">
        <f t="shared" si="2"/>
        <v>4.3449963273932104</v>
      </c>
      <c r="G33" s="2">
        <f t="shared" si="3"/>
        <v>3.2896919952828574</v>
      </c>
      <c r="H33" s="2">
        <f t="shared" si="4"/>
        <v>3.9476303943394289</v>
      </c>
      <c r="I33" s="2">
        <f t="shared" si="5"/>
        <v>0.39736593305378154</v>
      </c>
      <c r="K33" s="2">
        <f t="shared" si="6"/>
        <v>0.19313374578046832</v>
      </c>
      <c r="L33" s="2">
        <f t="shared" si="7"/>
        <v>5.004174526991898</v>
      </c>
      <c r="M33" s="2">
        <f t="shared" si="8"/>
        <v>3.3961661111504573</v>
      </c>
      <c r="N33" s="2">
        <f t="shared" ref="N33" si="30">M33*$G$13</f>
        <v>4.0753993333805489</v>
      </c>
      <c r="O33" s="2">
        <f t="shared" si="10"/>
        <v>0.39736593305378154</v>
      </c>
      <c r="P33" s="2">
        <f t="shared" si="11"/>
        <v>4.4727652664343305</v>
      </c>
      <c r="Q33" s="2">
        <f t="shared" si="12"/>
        <v>12.715447374480663</v>
      </c>
      <c r="S33" s="2">
        <f t="shared" si="13"/>
        <v>16.090180752016732</v>
      </c>
      <c r="T33" s="2">
        <f t="shared" si="14"/>
        <v>0.19313374578046832</v>
      </c>
      <c r="U33" s="2">
        <f t="shared" si="15"/>
        <v>13.03448104926599</v>
      </c>
      <c r="V33" s="2">
        <f t="shared" si="16"/>
        <v>1.481494386946123</v>
      </c>
      <c r="W33" s="2">
        <f t="shared" si="17"/>
        <v>1.7777932643353476</v>
      </c>
      <c r="X33" s="2">
        <f t="shared" si="18"/>
        <v>0.26522040135328162</v>
      </c>
      <c r="Y33" s="2">
        <f t="shared" si="19"/>
        <v>0.39736593305378154</v>
      </c>
      <c r="Z33" s="2">
        <f t="shared" si="20"/>
        <v>2.4661853351986514</v>
      </c>
      <c r="AA33" s="13">
        <f t="shared" si="21"/>
        <v>533.42735204791484</v>
      </c>
      <c r="AB33" s="12">
        <f t="shared" si="22"/>
        <v>4415.0656284406023</v>
      </c>
    </row>
    <row r="34" spans="2:28" x14ac:dyDescent="0.25">
      <c r="B34" s="2">
        <v>1.3737779294430061</v>
      </c>
      <c r="C34" s="2">
        <v>14.365092813455655</v>
      </c>
      <c r="D34" s="2">
        <f t="shared" si="0"/>
        <v>0.20774829152667496</v>
      </c>
      <c r="E34" s="2">
        <f t="shared" si="1"/>
        <v>6.4040602881105286</v>
      </c>
      <c r="F34" s="2">
        <f t="shared" si="2"/>
        <v>4.3729290140462549</v>
      </c>
      <c r="G34" s="2">
        <f t="shared" si="3"/>
        <v>3.2464702522239608</v>
      </c>
      <c r="H34" s="2">
        <f t="shared" si="4"/>
        <v>3.895764302668753</v>
      </c>
      <c r="I34" s="2">
        <f t="shared" si="5"/>
        <v>0.47716471137750194</v>
      </c>
      <c r="K34" s="2">
        <f t="shared" si="6"/>
        <v>0.20774829152667496</v>
      </c>
      <c r="L34" s="2">
        <f t="shared" si="7"/>
        <v>5.3828433984062958</v>
      </c>
      <c r="M34" s="2">
        <f t="shared" si="8"/>
        <v>3.3508362952027841</v>
      </c>
      <c r="N34" s="2">
        <f t="shared" ref="N34" si="31">M34*$G$13</f>
        <v>4.0210035542433404</v>
      </c>
      <c r="O34" s="2">
        <f t="shared" si="10"/>
        <v>0.47716471137750194</v>
      </c>
      <c r="P34" s="2">
        <f t="shared" si="11"/>
        <v>4.4981682656208424</v>
      </c>
      <c r="Q34" s="2">
        <f t="shared" si="12"/>
        <v>14.796187633133306</v>
      </c>
      <c r="S34" s="2">
        <f t="shared" si="13"/>
        <v>17.307734327207957</v>
      </c>
      <c r="T34" s="2">
        <f t="shared" si="14"/>
        <v>0.20774829152667496</v>
      </c>
      <c r="U34" s="2">
        <f t="shared" si="15"/>
        <v>14.020808005245458</v>
      </c>
      <c r="V34" s="2">
        <f t="shared" si="16"/>
        <v>1.4683895402491707</v>
      </c>
      <c r="W34" s="2">
        <f t="shared" si="17"/>
        <v>1.7620674482990049</v>
      </c>
      <c r="X34" s="2">
        <f t="shared" si="18"/>
        <v>0.26522040135328162</v>
      </c>
      <c r="Y34" s="2">
        <f t="shared" si="19"/>
        <v>0.47716471137750194</v>
      </c>
      <c r="Z34" s="2">
        <f t="shared" si="20"/>
        <v>2.5300596613873045</v>
      </c>
      <c r="AA34" s="13">
        <f t="shared" si="21"/>
        <v>633.19711425209175</v>
      </c>
      <c r="AB34" s="12">
        <f t="shared" si="22"/>
        <v>5637.4163021102841</v>
      </c>
    </row>
    <row r="35" spans="2:28" x14ac:dyDescent="0.25">
      <c r="B35" s="2">
        <v>1.4506849767904095</v>
      </c>
      <c r="C35" s="2">
        <v>16.1744747196738</v>
      </c>
      <c r="D35" s="2">
        <f t="shared" si="0"/>
        <v>0.2193784883367679</v>
      </c>
      <c r="E35" s="2">
        <f t="shared" si="1"/>
        <v>6.7625733761705709</v>
      </c>
      <c r="F35" s="2">
        <f t="shared" si="2"/>
        <v>4.4155114911292159</v>
      </c>
      <c r="G35" s="2">
        <f t="shared" si="3"/>
        <v>3.2147474659694</v>
      </c>
      <c r="H35" s="2">
        <f t="shared" si="4"/>
        <v>3.8576969591632797</v>
      </c>
      <c r="I35" s="2">
        <f t="shared" si="5"/>
        <v>0.55781453196593622</v>
      </c>
      <c r="K35" s="2">
        <f t="shared" si="6"/>
        <v>0.2193784883367679</v>
      </c>
      <c r="L35" s="2">
        <f t="shared" si="7"/>
        <v>5.6841865654731425</v>
      </c>
      <c r="M35" s="2">
        <f t="shared" si="8"/>
        <v>3.3175754589112056</v>
      </c>
      <c r="N35" s="2">
        <f t="shared" ref="N35" si="32">M35*$G$13</f>
        <v>3.9810905506934464</v>
      </c>
      <c r="O35" s="2">
        <f t="shared" si="10"/>
        <v>0.55781453196593622</v>
      </c>
      <c r="P35" s="2">
        <f t="shared" si="11"/>
        <v>4.5389050826593831</v>
      </c>
      <c r="Q35" s="2">
        <f t="shared" si="12"/>
        <v>16.648625755871578</v>
      </c>
      <c r="S35" s="2">
        <f t="shared" si="13"/>
        <v>18.276658572423152</v>
      </c>
      <c r="T35" s="2">
        <f t="shared" si="14"/>
        <v>0.2193784883367679</v>
      </c>
      <c r="U35" s="2">
        <f t="shared" si="15"/>
        <v>14.805723035541119</v>
      </c>
      <c r="V35" s="2">
        <f t="shared" si="16"/>
        <v>1.4587165436650495</v>
      </c>
      <c r="W35" s="2">
        <f t="shared" si="17"/>
        <v>1.7504598523980595</v>
      </c>
      <c r="X35" s="2">
        <f t="shared" si="18"/>
        <v>0.26522040135328162</v>
      </c>
      <c r="Y35" s="2">
        <f t="shared" si="19"/>
        <v>0.55781453196593622</v>
      </c>
      <c r="Z35" s="2">
        <f t="shared" si="20"/>
        <v>2.5989552680830781</v>
      </c>
      <c r="AA35" s="13">
        <f t="shared" si="21"/>
        <v>725.30409010538438</v>
      </c>
      <c r="AB35" s="12">
        <f t="shared" si="22"/>
        <v>6818.9559551300235</v>
      </c>
    </row>
    <row r="36" spans="2:28" x14ac:dyDescent="0.25">
      <c r="B36" s="2">
        <v>1.5202831369309524</v>
      </c>
      <c r="C36" s="2">
        <v>17.993853211009171</v>
      </c>
      <c r="D36" s="2">
        <f t="shared" si="0"/>
        <v>0.2299034054669041</v>
      </c>
      <c r="E36" s="2">
        <f t="shared" si="1"/>
        <v>7.0870150518803552</v>
      </c>
      <c r="F36" s="2">
        <f t="shared" si="2"/>
        <v>4.4727258310530686</v>
      </c>
      <c r="G36" s="2">
        <f t="shared" si="3"/>
        <v>3.1878274622958118</v>
      </c>
      <c r="H36" s="2">
        <f t="shared" si="4"/>
        <v>3.8253929547549741</v>
      </c>
      <c r="I36" s="2">
        <f t="shared" si="5"/>
        <v>0.64733287629809455</v>
      </c>
      <c r="K36" s="2">
        <f t="shared" si="6"/>
        <v>0.2299034054669041</v>
      </c>
      <c r="L36" s="2">
        <f t="shared" si="7"/>
        <v>5.9568914829306827</v>
      </c>
      <c r="M36" s="2">
        <f t="shared" si="8"/>
        <v>3.2893563888598134</v>
      </c>
      <c r="N36" s="2">
        <f t="shared" ref="N36" si="33">M36*$G$13</f>
        <v>3.9472276666317758</v>
      </c>
      <c r="O36" s="2">
        <f t="shared" si="10"/>
        <v>0.64733287629809455</v>
      </c>
      <c r="P36" s="2">
        <f t="shared" si="11"/>
        <v>4.5945605429298704</v>
      </c>
      <c r="Q36" s="2">
        <f t="shared" si="12"/>
        <v>18.508618259800201</v>
      </c>
      <c r="S36" s="2">
        <f t="shared" si="13"/>
        <v>19.153500774905897</v>
      </c>
      <c r="T36" s="2">
        <f t="shared" si="14"/>
        <v>0.2299034054669041</v>
      </c>
      <c r="U36" s="2">
        <f t="shared" si="15"/>
        <v>15.516043400961838</v>
      </c>
      <c r="V36" s="2">
        <f t="shared" si="16"/>
        <v>1.4504713022641638</v>
      </c>
      <c r="W36" s="2">
        <f t="shared" si="17"/>
        <v>1.7405655627169965</v>
      </c>
      <c r="X36" s="2">
        <f t="shared" si="18"/>
        <v>0.26522040135328162</v>
      </c>
      <c r="Y36" s="2">
        <f t="shared" si="19"/>
        <v>0.64733287629809455</v>
      </c>
      <c r="Z36" s="2">
        <f t="shared" si="20"/>
        <v>2.6784543458746355</v>
      </c>
      <c r="AA36" s="13">
        <f t="shared" si="21"/>
        <v>820.9341072007054</v>
      </c>
      <c r="AB36" s="12">
        <f t="shared" si="22"/>
        <v>8088.3032028488769</v>
      </c>
    </row>
    <row r="37" spans="2:28" x14ac:dyDescent="0.25">
      <c r="B37" s="2">
        <v>1.5687256210884053</v>
      </c>
      <c r="C37" s="2">
        <v>19.38337854230377</v>
      </c>
      <c r="D37" s="2">
        <f t="shared" si="0"/>
        <v>0.2372290751441708</v>
      </c>
      <c r="E37" s="2">
        <f t="shared" si="1"/>
        <v>7.3128365492281464</v>
      </c>
      <c r="F37" s="2">
        <f t="shared" si="2"/>
        <v>4.5251456137949679</v>
      </c>
      <c r="G37" s="2">
        <f t="shared" si="3"/>
        <v>3.1699966070625423</v>
      </c>
      <c r="H37" s="2">
        <f t="shared" si="4"/>
        <v>3.8039959284750506</v>
      </c>
      <c r="I37" s="2">
        <f t="shared" si="5"/>
        <v>0.7211496853199173</v>
      </c>
      <c r="K37" s="2">
        <f t="shared" si="6"/>
        <v>0.2372290751441708</v>
      </c>
      <c r="L37" s="2">
        <f t="shared" si="7"/>
        <v>6.1467025873753949</v>
      </c>
      <c r="M37" s="2">
        <f t="shared" si="8"/>
        <v>3.2706681857148072</v>
      </c>
      <c r="N37" s="2">
        <f t="shared" ref="N37" si="34">M37*$G$13</f>
        <v>3.9248018228577686</v>
      </c>
      <c r="O37" s="2">
        <f t="shared" si="10"/>
        <v>0.7211496853199173</v>
      </c>
      <c r="P37" s="2">
        <f t="shared" si="11"/>
        <v>4.6459515081776859</v>
      </c>
      <c r="Q37" s="2">
        <f t="shared" si="12"/>
        <v>19.927357623645079</v>
      </c>
      <c r="S37" s="2">
        <f t="shared" si="13"/>
        <v>19.763810220106485</v>
      </c>
      <c r="T37" s="2">
        <f t="shared" si="14"/>
        <v>0.2372290751441708</v>
      </c>
      <c r="U37" s="2">
        <f t="shared" si="15"/>
        <v>16.010448468267128</v>
      </c>
      <c r="V37" s="2">
        <f t="shared" si="16"/>
        <v>1.4449912146966866</v>
      </c>
      <c r="W37" s="2">
        <f t="shared" si="17"/>
        <v>1.7339894576360237</v>
      </c>
      <c r="X37" s="2">
        <f t="shared" si="18"/>
        <v>0.26522040135328162</v>
      </c>
      <c r="Y37" s="2">
        <f t="shared" si="19"/>
        <v>0.7211496853199173</v>
      </c>
      <c r="Z37" s="2">
        <f t="shared" si="20"/>
        <v>2.7456119856453927</v>
      </c>
      <c r="AA37" s="13">
        <f t="shared" si="21"/>
        <v>896.0004672520538</v>
      </c>
      <c r="AB37" s="12">
        <f t="shared" si="22"/>
        <v>9109.1923139114715</v>
      </c>
    </row>
    <row r="38" spans="2:28" x14ac:dyDescent="0.25">
      <c r="B38" s="2">
        <v>1.6582774320180576</v>
      </c>
      <c r="C38" s="2">
        <v>22.29238481141692</v>
      </c>
      <c r="D38" s="2">
        <f t="shared" si="0"/>
        <v>0.25077146458356009</v>
      </c>
      <c r="E38" s="2">
        <f t="shared" si="1"/>
        <v>7.730294992701241</v>
      </c>
      <c r="F38" s="2">
        <f t="shared" si="2"/>
        <v>4.6573535937405559</v>
      </c>
      <c r="G38" s="2">
        <f t="shared" si="3"/>
        <v>3.1388027817668136</v>
      </c>
      <c r="H38" s="2">
        <f t="shared" si="4"/>
        <v>3.766563338120176</v>
      </c>
      <c r="I38" s="2">
        <f t="shared" si="5"/>
        <v>0.89079025562037994</v>
      </c>
      <c r="K38" s="2">
        <f t="shared" si="6"/>
        <v>0.25077146458356009</v>
      </c>
      <c r="L38" s="2">
        <f t="shared" si="7"/>
        <v>6.4975914493572215</v>
      </c>
      <c r="M38" s="2">
        <f t="shared" si="8"/>
        <v>3.2379804685608882</v>
      </c>
      <c r="N38" s="2">
        <f t="shared" ref="N38" si="35">M38*$G$13</f>
        <v>3.8855765622730658</v>
      </c>
      <c r="O38" s="2">
        <f t="shared" si="10"/>
        <v>0.89079025562037994</v>
      </c>
      <c r="P38" s="2">
        <f t="shared" si="11"/>
        <v>4.7763668178934457</v>
      </c>
      <c r="Q38" s="2">
        <f t="shared" si="12"/>
        <v>22.892494377028115</v>
      </c>
      <c r="S38" s="2">
        <f t="shared" si="13"/>
        <v>20.89204129652158</v>
      </c>
      <c r="T38" s="2">
        <f t="shared" si="14"/>
        <v>0.25077146458356009</v>
      </c>
      <c r="U38" s="2">
        <f t="shared" si="15"/>
        <v>16.924416236024012</v>
      </c>
      <c r="V38" s="2">
        <f t="shared" si="16"/>
        <v>1.4353679565806503</v>
      </c>
      <c r="W38" s="2">
        <f t="shared" si="17"/>
        <v>1.7224415478967803</v>
      </c>
      <c r="X38" s="2">
        <f t="shared" si="18"/>
        <v>0.26522040135328162</v>
      </c>
      <c r="Y38" s="2">
        <f t="shared" si="19"/>
        <v>0.89079025562037994</v>
      </c>
      <c r="Z38" s="2">
        <f t="shared" si="20"/>
        <v>2.9035587821233921</v>
      </c>
      <c r="AA38" s="13">
        <f t="shared" si="21"/>
        <v>1058.8150313617018</v>
      </c>
      <c r="AB38" s="12">
        <f t="shared" si="22"/>
        <v>11378.943306285677</v>
      </c>
    </row>
    <row r="39" spans="2:28" x14ac:dyDescent="0.25">
      <c r="B39" s="2">
        <v>1.7175465533744738</v>
      </c>
      <c r="C39" s="2">
        <v>24.541616462793066</v>
      </c>
      <c r="D39" s="2">
        <f t="shared" si="0"/>
        <v>0.25973438241633889</v>
      </c>
      <c r="E39" s="2">
        <f t="shared" si="1"/>
        <v>8.0065863919550644</v>
      </c>
      <c r="F39" s="2">
        <f t="shared" si="2"/>
        <v>4.7795079803070672</v>
      </c>
      <c r="G39" s="2">
        <f t="shared" si="3"/>
        <v>3.1193077382058521</v>
      </c>
      <c r="H39" s="2">
        <f t="shared" si="4"/>
        <v>3.7431692858470225</v>
      </c>
      <c r="I39" s="2">
        <f t="shared" si="5"/>
        <v>1.0363386944600448</v>
      </c>
      <c r="K39" s="2">
        <f t="shared" si="6"/>
        <v>0.25973438241633889</v>
      </c>
      <c r="L39" s="2">
        <f t="shared" si="7"/>
        <v>6.7298243246896119</v>
      </c>
      <c r="M39" s="2">
        <f t="shared" si="8"/>
        <v>3.2175556710813522</v>
      </c>
      <c r="N39" s="2">
        <f t="shared" ref="N39" si="36">M39*$G$13</f>
        <v>3.8610668052976225</v>
      </c>
      <c r="O39" s="2">
        <f t="shared" si="10"/>
        <v>1.0363386944600448</v>
      </c>
      <c r="P39" s="2">
        <f t="shared" si="11"/>
        <v>4.8974054997576673</v>
      </c>
      <c r="Q39" s="2">
        <f t="shared" si="12"/>
        <v>25.18048913343592</v>
      </c>
      <c r="S39" s="2">
        <f t="shared" si="13"/>
        <v>21.638751652146389</v>
      </c>
      <c r="T39" s="2">
        <f t="shared" si="14"/>
        <v>0.25973438241633889</v>
      </c>
      <c r="U39" s="2">
        <f t="shared" si="15"/>
        <v>17.529318202613936</v>
      </c>
      <c r="V39" s="2">
        <f t="shared" si="16"/>
        <v>1.4293301515190535</v>
      </c>
      <c r="W39" s="2">
        <f t="shared" si="17"/>
        <v>1.7151961818228643</v>
      </c>
      <c r="X39" s="2">
        <f t="shared" si="18"/>
        <v>0.26522040135328162</v>
      </c>
      <c r="Y39" s="2">
        <f t="shared" si="19"/>
        <v>1.0363386944600448</v>
      </c>
      <c r="Z39" s="2">
        <f t="shared" si="20"/>
        <v>3.0417703371423079</v>
      </c>
      <c r="AA39" s="13">
        <f t="shared" si="21"/>
        <v>1189.9221522293524</v>
      </c>
      <c r="AB39" s="12">
        <f t="shared" si="22"/>
        <v>13244.992359838932</v>
      </c>
    </row>
    <row r="40" spans="2:28" x14ac:dyDescent="0.25">
      <c r="B40" s="2">
        <v>1.77398677303067</v>
      </c>
      <c r="C40" s="2">
        <v>27.030766156982665</v>
      </c>
      <c r="D40" s="2">
        <f t="shared" si="0"/>
        <v>0.268269502216756</v>
      </c>
      <c r="E40" s="2">
        <f t="shared" si="1"/>
        <v>8.2696904654780887</v>
      </c>
      <c r="F40" s="2">
        <f t="shared" si="2"/>
        <v>4.9346307607927784</v>
      </c>
      <c r="G40" s="2">
        <f t="shared" si="3"/>
        <v>3.1015188446917721</v>
      </c>
      <c r="H40" s="2">
        <f t="shared" si="4"/>
        <v>3.7218226136301262</v>
      </c>
      <c r="I40" s="2">
        <f t="shared" si="5"/>
        <v>1.2128081471626522</v>
      </c>
      <c r="K40" s="2">
        <f t="shared" si="6"/>
        <v>0.268269502216756</v>
      </c>
      <c r="L40" s="2">
        <f t="shared" si="7"/>
        <v>6.9509727776307182</v>
      </c>
      <c r="M40" s="2">
        <f t="shared" si="8"/>
        <v>3.1989210033575302</v>
      </c>
      <c r="N40" s="2">
        <f t="shared" ref="N40" si="37">M40*$G$13</f>
        <v>3.8387052040290359</v>
      </c>
      <c r="O40" s="2">
        <f t="shared" si="10"/>
        <v>1.2128081471626522</v>
      </c>
      <c r="P40" s="2">
        <f t="shared" si="11"/>
        <v>5.0515133511916881</v>
      </c>
      <c r="Q40" s="2">
        <f t="shared" si="12"/>
        <v>27.707881580914734</v>
      </c>
      <c r="S40" s="2">
        <f t="shared" si="13"/>
        <v>22.349821692101656</v>
      </c>
      <c r="T40" s="2">
        <f t="shared" si="14"/>
        <v>0.268269502216756</v>
      </c>
      <c r="U40" s="2">
        <f t="shared" si="15"/>
        <v>18.105348335733229</v>
      </c>
      <c r="V40" s="2">
        <f t="shared" si="16"/>
        <v>1.423804780297639</v>
      </c>
      <c r="W40" s="2">
        <f t="shared" si="17"/>
        <v>1.7085657363571667</v>
      </c>
      <c r="X40" s="2">
        <f t="shared" si="18"/>
        <v>0.26522040135328162</v>
      </c>
      <c r="Y40" s="2">
        <f t="shared" si="19"/>
        <v>1.2128081471626522</v>
      </c>
      <c r="Z40" s="2">
        <f t="shared" si="20"/>
        <v>3.2115255938242662</v>
      </c>
      <c r="AA40" s="13">
        <f t="shared" si="21"/>
        <v>1340.2543852849487</v>
      </c>
      <c r="AB40" s="12">
        <f t="shared" si="22"/>
        <v>15408.567296665691</v>
      </c>
    </row>
    <row r="41" spans="2:28" x14ac:dyDescent="0.25">
      <c r="B41" s="2">
        <v>1.8412197254445291</v>
      </c>
      <c r="C41" s="2">
        <v>30.679519724770643</v>
      </c>
      <c r="D41" s="2">
        <f t="shared" si="0"/>
        <v>0.27843674300503723</v>
      </c>
      <c r="E41" s="2">
        <f t="shared" si="1"/>
        <v>8.5831063905545619</v>
      </c>
      <c r="F41" s="2">
        <f t="shared" si="2"/>
        <v>5.1991743295018988</v>
      </c>
      <c r="G41" s="2">
        <f t="shared" si="3"/>
        <v>3.0812402249367987</v>
      </c>
      <c r="H41" s="2">
        <f t="shared" si="4"/>
        <v>3.6974882699241585</v>
      </c>
      <c r="I41" s="2">
        <f t="shared" si="5"/>
        <v>1.5016860595777404</v>
      </c>
      <c r="K41" s="2">
        <f t="shared" si="6"/>
        <v>0.27843674300503723</v>
      </c>
      <c r="L41" s="2">
        <f t="shared" si="7"/>
        <v>7.2144101544438977</v>
      </c>
      <c r="M41" s="2">
        <f t="shared" si="8"/>
        <v>3.1776812821832894</v>
      </c>
      <c r="N41" s="2">
        <f t="shared" ref="N41" si="38">M41*$G$13</f>
        <v>3.8132175386199472</v>
      </c>
      <c r="O41" s="2">
        <f t="shared" si="10"/>
        <v>1.5016860595777404</v>
      </c>
      <c r="P41" s="2">
        <f t="shared" si="11"/>
        <v>5.314903598197688</v>
      </c>
      <c r="Q41" s="2">
        <f t="shared" si="12"/>
        <v>31.404196962774179</v>
      </c>
      <c r="S41" s="2">
        <f t="shared" si="13"/>
        <v>23.196865492612183</v>
      </c>
      <c r="T41" s="2">
        <f t="shared" si="14"/>
        <v>0.27843674300503723</v>
      </c>
      <c r="U41" s="2">
        <f t="shared" si="15"/>
        <v>18.791529338657568</v>
      </c>
      <c r="V41" s="2">
        <f t="shared" si="16"/>
        <v>1.4174873520459597</v>
      </c>
      <c r="W41" s="2">
        <f t="shared" si="17"/>
        <v>1.7009848224551516</v>
      </c>
      <c r="X41" s="2">
        <f t="shared" si="18"/>
        <v>0.26522040135328162</v>
      </c>
      <c r="Y41" s="2">
        <f t="shared" si="19"/>
        <v>1.5016860595777404</v>
      </c>
      <c r="Z41" s="2">
        <f t="shared" si="20"/>
        <v>3.4927268362151267</v>
      </c>
      <c r="AA41" s="13">
        <f t="shared" si="21"/>
        <v>1570.1854682151513</v>
      </c>
      <c r="AB41" s="12">
        <f t="shared" si="22"/>
        <v>18736.187240227406</v>
      </c>
    </row>
    <row r="42" spans="2:28" x14ac:dyDescent="0.25">
      <c r="B42" s="2">
        <v>1.9194595237833632</v>
      </c>
      <c r="C42" s="2">
        <v>36.557511773700298</v>
      </c>
      <c r="D42" s="2">
        <f t="shared" si="0"/>
        <v>0.29026848384605841</v>
      </c>
      <c r="E42" s="2">
        <f t="shared" si="1"/>
        <v>8.9478322860234556</v>
      </c>
      <c r="F42" s="2">
        <f t="shared" si="2"/>
        <v>5.7005370488062779</v>
      </c>
      <c r="G42" s="2">
        <f t="shared" si="3"/>
        <v>3.0587887550467139</v>
      </c>
      <c r="H42" s="2">
        <f t="shared" si="4"/>
        <v>3.6705465060560565</v>
      </c>
      <c r="I42" s="2">
        <f t="shared" si="5"/>
        <v>2.0299905427502214</v>
      </c>
      <c r="K42" s="2">
        <f t="shared" si="6"/>
        <v>0.29026848384605841</v>
      </c>
      <c r="L42" s="2">
        <f t="shared" si="7"/>
        <v>7.5209754099736523</v>
      </c>
      <c r="M42" s="2">
        <f t="shared" si="8"/>
        <v>3.154169527333019</v>
      </c>
      <c r="N42" s="2">
        <f t="shared" ref="N42" si="39">M42*$G$13</f>
        <v>3.7850034327996225</v>
      </c>
      <c r="O42" s="2">
        <f t="shared" si="10"/>
        <v>2.0299905427502214</v>
      </c>
      <c r="P42" s="2">
        <f t="shared" si="11"/>
        <v>5.8149939755498439</v>
      </c>
      <c r="Q42" s="2">
        <f t="shared" si="12"/>
        <v>37.341198160580156</v>
      </c>
      <c r="S42" s="2">
        <f t="shared" si="13"/>
        <v>24.182580588509744</v>
      </c>
      <c r="T42" s="2">
        <f t="shared" si="14"/>
        <v>0.29026848384605841</v>
      </c>
      <c r="U42" s="2">
        <f t="shared" si="15"/>
        <v>19.590046455119531</v>
      </c>
      <c r="V42" s="2">
        <f t="shared" si="16"/>
        <v>1.4104695633343856</v>
      </c>
      <c r="W42" s="2">
        <f t="shared" si="17"/>
        <v>1.6925634760012627</v>
      </c>
      <c r="X42" s="2">
        <f t="shared" si="18"/>
        <v>0.26522040135328162</v>
      </c>
      <c r="Y42" s="2">
        <f t="shared" si="19"/>
        <v>2.0299905427502214</v>
      </c>
      <c r="Z42" s="2">
        <f t="shared" si="20"/>
        <v>4.0125036011307076</v>
      </c>
      <c r="AA42" s="13">
        <f t="shared" si="21"/>
        <v>1960.4169409693818</v>
      </c>
      <c r="AB42" s="12">
        <f t="shared" si="22"/>
        <v>24386.644676569747</v>
      </c>
    </row>
    <row r="43" spans="2:28" x14ac:dyDescent="0.25">
      <c r="B43" s="2">
        <v>1.9728371564579499</v>
      </c>
      <c r="C43" s="2">
        <v>41.445841896024469</v>
      </c>
      <c r="D43" s="2">
        <f t="shared" si="0"/>
        <v>0.29834046677446363</v>
      </c>
      <c r="E43" s="2">
        <f t="shared" si="1"/>
        <v>9.1966596767963349</v>
      </c>
      <c r="F43" s="2">
        <f t="shared" si="2"/>
        <v>6.11780386079118</v>
      </c>
      <c r="G43" s="2">
        <f t="shared" si="3"/>
        <v>3.0441247186638329</v>
      </c>
      <c r="H43" s="2">
        <f t="shared" si="4"/>
        <v>3.6529496623965994</v>
      </c>
      <c r="I43" s="2">
        <f t="shared" si="5"/>
        <v>2.4648541983945806</v>
      </c>
      <c r="K43" s="2">
        <f t="shared" si="6"/>
        <v>0.29834046677446363</v>
      </c>
      <c r="L43" s="2">
        <f t="shared" si="7"/>
        <v>7.7301237967012293</v>
      </c>
      <c r="M43" s="2">
        <f t="shared" si="8"/>
        <v>3.1388151336551058</v>
      </c>
      <c r="N43" s="2">
        <f t="shared" ref="N43" si="40">M43*$G$13</f>
        <v>3.7665781603861266</v>
      </c>
      <c r="O43" s="2">
        <f t="shared" si="10"/>
        <v>2.4648541983945806</v>
      </c>
      <c r="P43" s="2">
        <f t="shared" si="11"/>
        <v>6.2314323587807072</v>
      </c>
      <c r="Q43" s="2">
        <f t="shared" si="12"/>
        <v>42.271866638593643</v>
      </c>
      <c r="S43" s="2">
        <f t="shared" si="13"/>
        <v>24.855066195933656</v>
      </c>
      <c r="T43" s="2">
        <f t="shared" si="14"/>
        <v>0.29834046677446363</v>
      </c>
      <c r="U43" s="2">
        <f t="shared" si="15"/>
        <v>20.13481975760542</v>
      </c>
      <c r="V43" s="2">
        <f t="shared" si="16"/>
        <v>1.4058725404446073</v>
      </c>
      <c r="W43" s="2">
        <f t="shared" si="17"/>
        <v>1.6870470485335287</v>
      </c>
      <c r="X43" s="2">
        <f t="shared" si="18"/>
        <v>0.26522040135328162</v>
      </c>
      <c r="Y43" s="2">
        <f t="shared" si="19"/>
        <v>2.4648541983945806</v>
      </c>
      <c r="Z43" s="2">
        <f t="shared" si="20"/>
        <v>4.4417811501486462</v>
      </c>
      <c r="AA43" s="13">
        <f t="shared" si="21"/>
        <v>2292.528424782719</v>
      </c>
      <c r="AB43" s="12">
        <f t="shared" si="22"/>
        <v>29310.998495875083</v>
      </c>
    </row>
    <row r="44" spans="2:28" x14ac:dyDescent="0.25">
      <c r="B44" s="2">
        <v>2.0034845681467388</v>
      </c>
      <c r="C44" s="2">
        <v>43.845022324159018</v>
      </c>
      <c r="D44" s="2">
        <f t="shared" si="0"/>
        <v>0.3029750931442744</v>
      </c>
      <c r="E44" s="2">
        <f t="shared" si="1"/>
        <v>9.3395269247867887</v>
      </c>
      <c r="F44" s="2">
        <f t="shared" si="2"/>
        <v>6.2754569297053413</v>
      </c>
      <c r="G44" s="2">
        <f t="shared" si="3"/>
        <v>3.0359296939130052</v>
      </c>
      <c r="H44" s="2">
        <f t="shared" si="4"/>
        <v>3.643115632695606</v>
      </c>
      <c r="I44" s="2">
        <f t="shared" si="5"/>
        <v>2.6323412970097353</v>
      </c>
      <c r="K44" s="2">
        <f t="shared" si="6"/>
        <v>0.3029750931442744</v>
      </c>
      <c r="L44" s="2">
        <f t="shared" si="7"/>
        <v>7.8502088658754907</v>
      </c>
      <c r="M44" s="2">
        <f t="shared" si="8"/>
        <v>3.1302350469896929</v>
      </c>
      <c r="N44" s="2">
        <f t="shared" ref="N44" si="41">M44*$G$13</f>
        <v>3.7562820563876311</v>
      </c>
      <c r="O44" s="2">
        <f t="shared" si="10"/>
        <v>2.6323412970097353</v>
      </c>
      <c r="P44" s="2">
        <f t="shared" si="11"/>
        <v>6.3886233533973664</v>
      </c>
      <c r="Q44" s="2">
        <f t="shared" si="12"/>
        <v>44.695145033765364</v>
      </c>
      <c r="S44" s="2">
        <f t="shared" si="13"/>
        <v>25.241181919558063</v>
      </c>
      <c r="T44" s="2">
        <f t="shared" si="14"/>
        <v>0.3029750931442744</v>
      </c>
      <c r="U44" s="2">
        <f t="shared" si="15"/>
        <v>20.447607920769791</v>
      </c>
      <c r="V44" s="2">
        <f t="shared" si="16"/>
        <v>1.4032988477455357</v>
      </c>
      <c r="W44" s="2">
        <f t="shared" si="17"/>
        <v>1.6839586172946428</v>
      </c>
      <c r="X44" s="2">
        <f t="shared" si="18"/>
        <v>0.26522040135328162</v>
      </c>
      <c r="Y44" s="2">
        <f t="shared" si="19"/>
        <v>2.6323412970097353</v>
      </c>
      <c r="Z44" s="2">
        <f t="shared" si="20"/>
        <v>4.606140806898626</v>
      </c>
      <c r="AA44" s="13">
        <f t="shared" si="21"/>
        <v>2451.795863114427</v>
      </c>
      <c r="AB44" s="12">
        <f t="shared" si="22"/>
        <v>31834.274351156633</v>
      </c>
    </row>
  </sheetData>
  <mergeCells count="15">
    <mergeCell ref="A16:F16"/>
    <mergeCell ref="A17:F17"/>
    <mergeCell ref="A5:F5"/>
    <mergeCell ref="A6:F6"/>
    <mergeCell ref="A7:F7"/>
    <mergeCell ref="A13:F13"/>
    <mergeCell ref="A10:F10"/>
    <mergeCell ref="A11:F11"/>
    <mergeCell ref="A12:F12"/>
    <mergeCell ref="A14:F14"/>
    <mergeCell ref="A4:F4"/>
    <mergeCell ref="A3:F3"/>
    <mergeCell ref="A8:F8"/>
    <mergeCell ref="A9:F9"/>
    <mergeCell ref="A15:F15"/>
  </mergeCells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AB54"/>
  <sheetViews>
    <sheetView tabSelected="1" workbookViewId="0">
      <selection activeCell="F32" sqref="F32"/>
    </sheetView>
  </sheetViews>
  <sheetFormatPr defaultRowHeight="15" x14ac:dyDescent="0.25"/>
  <cols>
    <col min="7" max="7" width="9.140625" style="11"/>
    <col min="12" max="12" width="10.42578125" customWidth="1"/>
    <col min="13" max="13" width="9.7109375" customWidth="1"/>
  </cols>
  <sheetData>
    <row r="2" spans="1:9" x14ac:dyDescent="0.25">
      <c r="H2" t="s">
        <v>72</v>
      </c>
      <c r="I2" t="s">
        <v>73</v>
      </c>
    </row>
    <row r="3" spans="1:9" x14ac:dyDescent="0.25">
      <c r="A3" s="23" t="s">
        <v>68</v>
      </c>
      <c r="B3" s="26"/>
      <c r="C3" s="26"/>
      <c r="D3" s="26"/>
      <c r="E3" s="26"/>
      <c r="F3" s="27"/>
      <c r="G3" s="16" t="s">
        <v>69</v>
      </c>
      <c r="H3" s="9">
        <v>22</v>
      </c>
      <c r="I3" s="17">
        <f>H3/$H$3</f>
        <v>1</v>
      </c>
    </row>
    <row r="4" spans="1:9" x14ac:dyDescent="0.25">
      <c r="A4" s="23" t="s">
        <v>70</v>
      </c>
      <c r="B4" s="24"/>
      <c r="C4" s="24"/>
      <c r="D4" s="24"/>
      <c r="E4" s="24"/>
      <c r="F4" s="25"/>
      <c r="G4" s="14" t="s">
        <v>71</v>
      </c>
      <c r="H4" s="9">
        <v>20.5</v>
      </c>
      <c r="I4" s="17">
        <v>20.5</v>
      </c>
    </row>
    <row r="5" spans="1:9" x14ac:dyDescent="0.25">
      <c r="A5" s="23" t="s">
        <v>55</v>
      </c>
      <c r="B5" s="26"/>
      <c r="C5" s="26"/>
      <c r="D5" s="26"/>
      <c r="E5" s="26"/>
      <c r="F5" s="27"/>
      <c r="G5" s="14" t="s">
        <v>52</v>
      </c>
      <c r="H5" s="9">
        <v>180</v>
      </c>
      <c r="I5" s="18">
        <f>H5/$H$3</f>
        <v>8.1818181818181817</v>
      </c>
    </row>
    <row r="6" spans="1:9" x14ac:dyDescent="0.25">
      <c r="A6" s="23" t="s">
        <v>56</v>
      </c>
      <c r="B6" s="24"/>
      <c r="C6" s="24"/>
      <c r="D6" s="24"/>
      <c r="E6" s="24"/>
      <c r="F6" s="25"/>
      <c r="G6" s="14" t="s">
        <v>53</v>
      </c>
      <c r="H6" s="9">
        <v>185.06</v>
      </c>
      <c r="I6" s="22">
        <f t="shared" ref="I6:I9" si="0">H6/$H$3</f>
        <v>8.4118181818181821</v>
      </c>
    </row>
    <row r="7" spans="1:9" ht="17.25" customHeight="1" x14ac:dyDescent="0.25">
      <c r="A7" s="23" t="s">
        <v>57</v>
      </c>
      <c r="B7" s="24"/>
      <c r="C7" s="24"/>
      <c r="D7" s="24"/>
      <c r="E7" s="24"/>
      <c r="F7" s="25"/>
      <c r="G7" s="15" t="s">
        <v>54</v>
      </c>
      <c r="H7" s="9">
        <v>32.24</v>
      </c>
      <c r="I7" s="18">
        <f t="shared" si="0"/>
        <v>1.4654545454545456</v>
      </c>
    </row>
    <row r="8" spans="1:9" x14ac:dyDescent="0.25">
      <c r="A8" s="23" t="s">
        <v>58</v>
      </c>
      <c r="B8" s="24"/>
      <c r="C8" s="24"/>
      <c r="D8" s="24"/>
      <c r="E8" s="24"/>
      <c r="F8" s="25"/>
      <c r="G8" s="15" t="s">
        <v>64</v>
      </c>
      <c r="H8" s="9">
        <v>9.0500000000000007</v>
      </c>
      <c r="I8" s="18">
        <f t="shared" si="0"/>
        <v>0.41136363636363638</v>
      </c>
    </row>
    <row r="9" spans="1:9" x14ac:dyDescent="0.25">
      <c r="A9" s="23" t="s">
        <v>59</v>
      </c>
      <c r="B9" s="24"/>
      <c r="C9" s="24"/>
      <c r="D9" s="24"/>
      <c r="E9" s="24"/>
      <c r="F9" s="25"/>
      <c r="G9" s="15" t="s">
        <v>65</v>
      </c>
      <c r="H9" s="9">
        <v>9.0299999999999994</v>
      </c>
      <c r="I9" s="18">
        <f t="shared" si="0"/>
        <v>0.41045454545454541</v>
      </c>
    </row>
    <row r="10" spans="1:9" x14ac:dyDescent="0.25">
      <c r="A10" s="23" t="s">
        <v>60</v>
      </c>
      <c r="B10" s="24"/>
      <c r="C10" s="24"/>
      <c r="D10" s="24"/>
      <c r="E10" s="24"/>
      <c r="F10" s="25"/>
      <c r="G10" s="15" t="s">
        <v>66</v>
      </c>
      <c r="H10" s="9">
        <v>32466</v>
      </c>
      <c r="I10" s="18">
        <f>H10/H3^3</f>
        <v>3.0490232907588282</v>
      </c>
    </row>
    <row r="11" spans="1:9" x14ac:dyDescent="0.25">
      <c r="A11" s="23" t="s">
        <v>61</v>
      </c>
      <c r="B11" s="24"/>
      <c r="C11" s="24"/>
      <c r="D11" s="24"/>
      <c r="E11" s="24"/>
      <c r="F11" s="25"/>
      <c r="G11" s="15" t="s">
        <v>67</v>
      </c>
      <c r="H11" s="9">
        <v>33378</v>
      </c>
      <c r="I11" s="18">
        <f>H11/H3^3</f>
        <v>3.1346731780616079</v>
      </c>
    </row>
    <row r="12" spans="1:9" ht="18" x14ac:dyDescent="0.35">
      <c r="A12" s="23" t="s">
        <v>62</v>
      </c>
      <c r="B12" s="24"/>
      <c r="C12" s="24"/>
      <c r="D12" s="24"/>
      <c r="E12" s="24"/>
      <c r="F12" s="25"/>
      <c r="G12" s="15" t="s">
        <v>91</v>
      </c>
      <c r="H12" s="9">
        <v>6762</v>
      </c>
      <c r="I12" s="18">
        <f>H12/H3^2</f>
        <v>13.971074380165289</v>
      </c>
    </row>
    <row r="13" spans="1:9" ht="18" x14ac:dyDescent="0.35">
      <c r="A13" s="23" t="s">
        <v>63</v>
      </c>
      <c r="B13" s="24"/>
      <c r="C13" s="24"/>
      <c r="D13" s="24"/>
      <c r="E13" s="24"/>
      <c r="F13" s="25"/>
      <c r="G13" s="15" t="s">
        <v>92</v>
      </c>
      <c r="H13" s="9">
        <v>6828</v>
      </c>
      <c r="I13" s="18">
        <f>H13/H3^2</f>
        <v>14.107438016528926</v>
      </c>
    </row>
    <row r="14" spans="1:9" x14ac:dyDescent="0.25">
      <c r="A14" s="23" t="s">
        <v>75</v>
      </c>
      <c r="B14" s="24"/>
      <c r="C14" s="24"/>
      <c r="D14" s="24"/>
      <c r="E14" s="24"/>
      <c r="F14" s="25"/>
      <c r="G14" s="20" t="s">
        <v>0</v>
      </c>
      <c r="H14" s="9">
        <v>1000</v>
      </c>
      <c r="I14" s="17" t="s">
        <v>74</v>
      </c>
    </row>
    <row r="15" spans="1:9" x14ac:dyDescent="0.25">
      <c r="A15" s="23" t="s">
        <v>76</v>
      </c>
      <c r="B15" s="24"/>
      <c r="C15" s="24"/>
      <c r="D15" s="24"/>
      <c r="E15" s="24"/>
      <c r="F15" s="25"/>
      <c r="G15" s="20" t="s">
        <v>77</v>
      </c>
      <c r="H15" s="10">
        <v>1.2049300000000001</v>
      </c>
      <c r="I15" s="17" t="s">
        <v>74</v>
      </c>
    </row>
    <row r="16" spans="1:9" x14ac:dyDescent="0.25">
      <c r="A16" s="28" t="s">
        <v>33</v>
      </c>
      <c r="B16" s="28"/>
      <c r="C16" s="28"/>
      <c r="D16" s="28"/>
      <c r="E16" s="28"/>
      <c r="F16" s="28"/>
      <c r="G16" s="15" t="s">
        <v>80</v>
      </c>
      <c r="H16" s="10">
        <v>1.1599999999999999</v>
      </c>
    </row>
    <row r="17" spans="1:17" x14ac:dyDescent="0.25">
      <c r="A17" s="30" t="s">
        <v>81</v>
      </c>
      <c r="B17" s="30"/>
      <c r="C17" s="30"/>
      <c r="D17" s="30"/>
      <c r="E17" s="30"/>
      <c r="F17" s="30"/>
      <c r="G17" s="21" t="s">
        <v>0</v>
      </c>
      <c r="H17" s="9">
        <v>999.10260000000005</v>
      </c>
    </row>
    <row r="18" spans="1:17" x14ac:dyDescent="0.25">
      <c r="A18" s="30" t="s">
        <v>82</v>
      </c>
      <c r="B18" s="30"/>
      <c r="C18" s="30"/>
      <c r="D18" s="30"/>
      <c r="E18" s="30"/>
      <c r="F18" s="30"/>
      <c r="G18" s="21" t="s">
        <v>0</v>
      </c>
      <c r="H18" s="9">
        <v>1025</v>
      </c>
    </row>
    <row r="19" spans="1:17" x14ac:dyDescent="0.25">
      <c r="A19" s="30" t="s">
        <v>83</v>
      </c>
      <c r="B19" s="30"/>
      <c r="C19" s="30"/>
      <c r="D19" s="30"/>
      <c r="E19" s="30"/>
      <c r="F19" s="30"/>
      <c r="G19" s="21" t="s">
        <v>77</v>
      </c>
      <c r="H19" s="9">
        <v>1.1379999999999999</v>
      </c>
    </row>
    <row r="20" spans="1:17" x14ac:dyDescent="0.25">
      <c r="A20" s="30" t="s">
        <v>84</v>
      </c>
      <c r="B20" s="30"/>
      <c r="C20" s="30"/>
      <c r="D20" s="30"/>
      <c r="E20" s="30"/>
      <c r="F20" s="30"/>
      <c r="G20" s="21" t="s">
        <v>77</v>
      </c>
      <c r="H20" s="9">
        <v>1.1892</v>
      </c>
    </row>
    <row r="21" spans="1:17" ht="18" x14ac:dyDescent="0.35">
      <c r="A21" s="28" t="s">
        <v>85</v>
      </c>
      <c r="B21" s="28"/>
      <c r="C21" s="28"/>
      <c r="D21" s="28"/>
      <c r="E21" s="28"/>
      <c r="F21" s="28"/>
      <c r="G21" s="15" t="s">
        <v>88</v>
      </c>
      <c r="H21" s="9">
        <v>150</v>
      </c>
    </row>
    <row r="22" spans="1:17" ht="18" x14ac:dyDescent="0.35">
      <c r="A22" s="28" t="s">
        <v>86</v>
      </c>
      <c r="B22" s="28"/>
      <c r="C22" s="28"/>
      <c r="D22" s="28"/>
      <c r="E22" s="28"/>
      <c r="F22" s="28"/>
      <c r="G22" s="15" t="s">
        <v>90</v>
      </c>
      <c r="H22" s="9">
        <v>0</v>
      </c>
    </row>
    <row r="23" spans="1:17" ht="18" x14ac:dyDescent="0.35">
      <c r="A23" s="28" t="s">
        <v>87</v>
      </c>
      <c r="B23" s="28"/>
      <c r="C23" s="28"/>
      <c r="D23" s="28"/>
      <c r="E23" s="28"/>
      <c r="F23" s="28"/>
      <c r="G23" s="15" t="s">
        <v>89</v>
      </c>
      <c r="H23" s="9">
        <f>(H13+H22)/H13</f>
        <v>1</v>
      </c>
    </row>
    <row r="25" spans="1:17" ht="18.75" x14ac:dyDescent="0.35">
      <c r="I25" s="4" t="s">
        <v>15</v>
      </c>
      <c r="J25" s="4" t="s">
        <v>16</v>
      </c>
      <c r="K25" s="4" t="s">
        <v>40</v>
      </c>
      <c r="L25" s="4" t="s">
        <v>13</v>
      </c>
      <c r="M25" s="4" t="s">
        <v>79</v>
      </c>
      <c r="N25" s="4" t="s">
        <v>14</v>
      </c>
      <c r="O25" s="4" t="s">
        <v>17</v>
      </c>
      <c r="P25" s="4" t="s">
        <v>34</v>
      </c>
      <c r="Q25" s="6" t="s">
        <v>36</v>
      </c>
    </row>
    <row r="26" spans="1:17" ht="17.25" x14ac:dyDescent="0.25">
      <c r="I26" s="5" t="s">
        <v>8</v>
      </c>
      <c r="J26" s="5" t="s">
        <v>10</v>
      </c>
      <c r="K26" s="5" t="s">
        <v>41</v>
      </c>
      <c r="L26" s="5" t="s">
        <v>2</v>
      </c>
      <c r="M26" s="5" t="s">
        <v>78</v>
      </c>
      <c r="N26" s="5" t="s">
        <v>2</v>
      </c>
      <c r="O26" s="5" t="s">
        <v>2</v>
      </c>
      <c r="P26" s="5" t="s">
        <v>2</v>
      </c>
      <c r="Q26" s="7" t="s">
        <v>2</v>
      </c>
    </row>
    <row r="27" spans="1:17" x14ac:dyDescent="0.25">
      <c r="I27" s="2">
        <v>0.98899999999999999</v>
      </c>
      <c r="J27" s="2">
        <v>26.32</v>
      </c>
      <c r="K27" s="2">
        <f>I27*SQRT($H$3)/0.5144</f>
        <v>9.0179261012157319</v>
      </c>
      <c r="L27" s="19">
        <f>J27/(0.5*$H$14*$I$13*I27^2)</f>
        <v>3.8148296251483511E-3</v>
      </c>
      <c r="M27" s="19">
        <f>(I27*$I$6)/$H$15</f>
        <v>6.9043746788761018</v>
      </c>
      <c r="N27" s="19">
        <f t="shared" ref="N27:N36" si="1">0.075/(LOG10(M27*1000000)-2)^2</f>
        <v>3.2027843574506999E-3</v>
      </c>
      <c r="O27" s="19">
        <f>L27/N27</f>
        <v>1.1910978696626384</v>
      </c>
      <c r="P27" s="19">
        <f>I27/SQRT(9.81*$I$6)</f>
        <v>0.10887216252911772</v>
      </c>
      <c r="Q27" s="19">
        <f>J27/SQRT(9.81*$I$6)</f>
        <v>2.8973865700367831</v>
      </c>
    </row>
    <row r="28" spans="1:17" x14ac:dyDescent="0.25">
      <c r="I28" s="2">
        <v>1.2070000000000001</v>
      </c>
      <c r="J28" s="2">
        <v>39.74</v>
      </c>
      <c r="K28" s="2">
        <f t="shared" ref="K28:K36" si="2">I28*SQRT($H$3)/0.5144</f>
        <v>11.005699498652566</v>
      </c>
      <c r="L28" s="19">
        <f t="shared" ref="L28:L36" si="3">J28/(0.5*$H$14*$I$13*I28^2)</f>
        <v>3.8671869493359531E-3</v>
      </c>
      <c r="M28" s="19">
        <f>(I28*$I$6)/$H$15</f>
        <v>8.4262691985879226</v>
      </c>
      <c r="N28" s="19">
        <f t="shared" si="1"/>
        <v>3.0912686686862048E-3</v>
      </c>
      <c r="O28" s="19">
        <f t="shared" ref="O28:O36" si="4">L28/N28</f>
        <v>1.2510031847149394</v>
      </c>
      <c r="P28" s="19">
        <f t="shared" ref="P28:Q36" si="5">I28/SQRT(9.81*$I$6)</f>
        <v>0.13287027317759867</v>
      </c>
      <c r="Q28" s="19">
        <f t="shared" si="5"/>
        <v>4.3747014549111611</v>
      </c>
    </row>
    <row r="29" spans="1:17" x14ac:dyDescent="0.25">
      <c r="I29" s="2">
        <v>1.427</v>
      </c>
      <c r="J29" s="2">
        <v>55.39</v>
      </c>
      <c r="K29" s="2">
        <f t="shared" si="2"/>
        <v>13.011709349276895</v>
      </c>
      <c r="L29" s="19">
        <f t="shared" si="3"/>
        <v>3.856250731709233E-3</v>
      </c>
      <c r="M29" s="19">
        <f t="shared" ref="M29:M36" si="6">(I29*$I$6)/$H$15</f>
        <v>9.9621260533429705</v>
      </c>
      <c r="N29" s="19">
        <f t="shared" si="1"/>
        <v>3.0019785389114231E-3</v>
      </c>
      <c r="O29" s="19">
        <f t="shared" si="4"/>
        <v>1.2845697201778083</v>
      </c>
      <c r="P29" s="19">
        <f t="shared" si="5"/>
        <v>0.15708854997881799</v>
      </c>
      <c r="Q29" s="19">
        <f t="shared" si="5"/>
        <v>6.0975016000888074</v>
      </c>
    </row>
    <row r="30" spans="1:17" x14ac:dyDescent="0.25">
      <c r="I30" s="2">
        <v>1.591</v>
      </c>
      <c r="J30" s="2">
        <v>69.09</v>
      </c>
      <c r="K30" s="2">
        <f t="shared" si="2"/>
        <v>14.507098510651392</v>
      </c>
      <c r="L30" s="19">
        <f t="shared" si="3"/>
        <v>3.8695162806586048E-3</v>
      </c>
      <c r="M30" s="19">
        <f t="shared" si="6"/>
        <v>11.107037526887643</v>
      </c>
      <c r="N30" s="19">
        <f t="shared" si="1"/>
        <v>2.9460216258255126E-3</v>
      </c>
      <c r="O30" s="19">
        <f t="shared" si="4"/>
        <v>1.3134717840281696</v>
      </c>
      <c r="P30" s="19">
        <f t="shared" si="5"/>
        <v>0.17514217450336328</v>
      </c>
      <c r="Q30" s="19">
        <f t="shared" si="5"/>
        <v>7.6056397463465562</v>
      </c>
    </row>
    <row r="31" spans="1:17" x14ac:dyDescent="0.25">
      <c r="I31" s="2">
        <v>1.756</v>
      </c>
      <c r="J31" s="2">
        <v>81.849999999999994</v>
      </c>
      <c r="K31" s="2">
        <f t="shared" si="2"/>
        <v>16.011605898619639</v>
      </c>
      <c r="L31" s="19">
        <f t="shared" si="3"/>
        <v>3.7631497897314286E-3</v>
      </c>
      <c r="M31" s="19">
        <f t="shared" si="6"/>
        <v>12.258930167953929</v>
      </c>
      <c r="N31" s="19">
        <f t="shared" si="1"/>
        <v>2.8966085059714715E-3</v>
      </c>
      <c r="O31" s="19">
        <f t="shared" si="4"/>
        <v>1.2991571977965086</v>
      </c>
      <c r="P31" s="19">
        <f t="shared" si="5"/>
        <v>0.19330588210427777</v>
      </c>
      <c r="Q31" s="19">
        <f t="shared" si="5"/>
        <v>9.0102998008172754</v>
      </c>
    </row>
    <row r="32" spans="1:17" x14ac:dyDescent="0.25">
      <c r="I32" s="2">
        <v>1.92</v>
      </c>
      <c r="J32" s="2">
        <v>95.23</v>
      </c>
      <c r="K32" s="2">
        <f t="shared" si="2"/>
        <v>17.506995059994139</v>
      </c>
      <c r="L32" s="19">
        <f t="shared" si="3"/>
        <v>3.6622937160303982E-3</v>
      </c>
      <c r="M32" s="19">
        <f t="shared" si="6"/>
        <v>13.4038416414986</v>
      </c>
      <c r="N32" s="19">
        <f t="shared" si="1"/>
        <v>2.8529606695584784E-3</v>
      </c>
      <c r="O32" s="19">
        <f t="shared" si="4"/>
        <v>1.2836818099554004</v>
      </c>
      <c r="P32" s="19">
        <f t="shared" si="5"/>
        <v>0.21135950662882308</v>
      </c>
      <c r="Q32" s="19">
        <f t="shared" si="5"/>
        <v>10.483211362636887</v>
      </c>
    </row>
    <row r="33" spans="2:28" x14ac:dyDescent="0.25">
      <c r="I33" s="2">
        <v>2.0840000000000001</v>
      </c>
      <c r="J33" s="2">
        <v>111.14</v>
      </c>
      <c r="K33" s="2">
        <f t="shared" si="2"/>
        <v>19.00238422136864</v>
      </c>
      <c r="L33" s="19">
        <f t="shared" si="3"/>
        <v>3.6279125342513637E-3</v>
      </c>
      <c r="M33" s="19">
        <f t="shared" si="6"/>
        <v>14.548753115043274</v>
      </c>
      <c r="N33" s="19">
        <f t="shared" si="1"/>
        <v>2.8137552892610615E-3</v>
      </c>
      <c r="O33" s="19">
        <f t="shared" si="4"/>
        <v>1.2893489878446798</v>
      </c>
      <c r="P33" s="19">
        <f t="shared" si="5"/>
        <v>0.22941313115336839</v>
      </c>
      <c r="Q33" s="19">
        <f t="shared" si="5"/>
        <v>12.23463310767052</v>
      </c>
    </row>
    <row r="34" spans="2:28" x14ac:dyDescent="0.25">
      <c r="I34" s="2">
        <v>2.2490000000000001</v>
      </c>
      <c r="J34" s="2">
        <v>129.74</v>
      </c>
      <c r="K34" s="2">
        <f t="shared" si="2"/>
        <v>20.506891609336886</v>
      </c>
      <c r="L34" s="19">
        <f t="shared" si="3"/>
        <v>3.6364433604274982E-3</v>
      </c>
      <c r="M34" s="19">
        <f t="shared" si="6"/>
        <v>15.700645756109559</v>
      </c>
      <c r="N34" s="19">
        <f t="shared" si="1"/>
        <v>2.7780289504256233E-3</v>
      </c>
      <c r="O34" s="19">
        <f t="shared" si="4"/>
        <v>1.3090012470425685</v>
      </c>
      <c r="P34" s="19">
        <f t="shared" si="5"/>
        <v>0.24757683875428288</v>
      </c>
      <c r="Q34" s="19">
        <f t="shared" si="5"/>
        <v>14.282178328137244</v>
      </c>
    </row>
    <row r="35" spans="2:28" x14ac:dyDescent="0.25">
      <c r="I35" s="2">
        <v>2.4140000000000001</v>
      </c>
      <c r="J35" s="2">
        <v>155.6</v>
      </c>
      <c r="K35" s="2">
        <f t="shared" si="2"/>
        <v>22.011398997305132</v>
      </c>
      <c r="L35" s="19">
        <f t="shared" si="3"/>
        <v>3.7854446987712269E-3</v>
      </c>
      <c r="M35" s="19">
        <f t="shared" si="6"/>
        <v>16.852538397175845</v>
      </c>
      <c r="N35" s="19">
        <f t="shared" si="1"/>
        <v>2.7454395078640851E-3</v>
      </c>
      <c r="O35" s="19">
        <f t="shared" si="4"/>
        <v>1.3788119126020197</v>
      </c>
      <c r="P35" s="19">
        <f t="shared" si="5"/>
        <v>0.26574054635519734</v>
      </c>
      <c r="Q35" s="19">
        <f t="shared" si="5"/>
        <v>17.128926683044202</v>
      </c>
    </row>
    <row r="36" spans="2:28" x14ac:dyDescent="0.25">
      <c r="I36" s="2">
        <v>2.5230000000000001</v>
      </c>
      <c r="J36" s="2">
        <v>179.02</v>
      </c>
      <c r="K36" s="2">
        <f t="shared" si="2"/>
        <v>23.005285696023549</v>
      </c>
      <c r="L36" s="19">
        <f t="shared" si="3"/>
        <v>3.9870244287746118E-3</v>
      </c>
      <c r="M36" s="19">
        <f t="shared" si="6"/>
        <v>17.613485657031756</v>
      </c>
      <c r="N36" s="19">
        <f t="shared" si="1"/>
        <v>2.7254003259890888E-3</v>
      </c>
      <c r="O36" s="19">
        <f t="shared" si="4"/>
        <v>1.4629133161667398</v>
      </c>
      <c r="P36" s="19">
        <f t="shared" si="5"/>
        <v>0.27773960167943784</v>
      </c>
      <c r="Q36" s="19">
        <f t="shared" si="5"/>
        <v>19.70707233161037</v>
      </c>
    </row>
    <row r="41" spans="2:28" x14ac:dyDescent="0.25">
      <c r="B41" t="s">
        <v>39</v>
      </c>
      <c r="G41"/>
      <c r="H41" s="11">
        <f>G25</f>
        <v>0</v>
      </c>
      <c r="I41" t="s">
        <v>51</v>
      </c>
      <c r="K41" t="s">
        <v>44</v>
      </c>
      <c r="Q41" s="11"/>
      <c r="S41" t="s">
        <v>50</v>
      </c>
    </row>
    <row r="42" spans="2:28" x14ac:dyDescent="0.25">
      <c r="G42"/>
    </row>
    <row r="43" spans="2:28" ht="18" x14ac:dyDescent="0.35">
      <c r="B43" s="4" t="s">
        <v>15</v>
      </c>
      <c r="C43" s="4" t="s">
        <v>16</v>
      </c>
      <c r="D43" s="4" t="s">
        <v>11</v>
      </c>
      <c r="E43" s="4" t="s">
        <v>35</v>
      </c>
      <c r="F43" s="6" t="s">
        <v>13</v>
      </c>
      <c r="G43" s="6" t="s">
        <v>14</v>
      </c>
      <c r="H43" s="6" t="s">
        <v>37</v>
      </c>
      <c r="I43" s="6" t="s">
        <v>38</v>
      </c>
      <c r="K43" s="4" t="s">
        <v>11</v>
      </c>
      <c r="L43" s="4" t="s">
        <v>35</v>
      </c>
      <c r="M43" s="6" t="s">
        <v>14</v>
      </c>
      <c r="N43" s="6" t="s">
        <v>37</v>
      </c>
      <c r="O43" s="6" t="s">
        <v>38</v>
      </c>
      <c r="P43" s="6" t="s">
        <v>13</v>
      </c>
      <c r="Q43" s="6" t="s">
        <v>16</v>
      </c>
      <c r="S43" s="4" t="s">
        <v>40</v>
      </c>
      <c r="T43" s="4" t="s">
        <v>11</v>
      </c>
      <c r="U43" s="4" t="s">
        <v>35</v>
      </c>
      <c r="V43" s="6" t="s">
        <v>97</v>
      </c>
      <c r="W43" s="6" t="s">
        <v>98</v>
      </c>
      <c r="X43" s="6" t="s">
        <v>43</v>
      </c>
      <c r="Y43" s="6" t="s">
        <v>38</v>
      </c>
      <c r="Z43" s="6" t="s">
        <v>45</v>
      </c>
      <c r="AA43" s="6" t="s">
        <v>46</v>
      </c>
      <c r="AB43" s="6" t="s">
        <v>48</v>
      </c>
    </row>
    <row r="44" spans="2:28" ht="17.25" x14ac:dyDescent="0.25">
      <c r="B44" s="5" t="s">
        <v>8</v>
      </c>
      <c r="C44" s="5" t="s">
        <v>10</v>
      </c>
      <c r="D44" s="5" t="s">
        <v>2</v>
      </c>
      <c r="E44" s="5" t="s">
        <v>18</v>
      </c>
      <c r="F44" s="7" t="s">
        <v>12</v>
      </c>
      <c r="G44" s="7" t="s">
        <v>12</v>
      </c>
      <c r="H44" s="7" t="s">
        <v>12</v>
      </c>
      <c r="I44" s="7" t="s">
        <v>12</v>
      </c>
      <c r="K44" s="5" t="s">
        <v>2</v>
      </c>
      <c r="L44" s="5" t="s">
        <v>18</v>
      </c>
      <c r="M44" s="7" t="s">
        <v>12</v>
      </c>
      <c r="N44" s="7" t="s">
        <v>12</v>
      </c>
      <c r="O44" s="7" t="s">
        <v>12</v>
      </c>
      <c r="P44" s="7" t="s">
        <v>12</v>
      </c>
      <c r="Q44" s="7" t="s">
        <v>10</v>
      </c>
      <c r="S44" s="5" t="s">
        <v>41</v>
      </c>
      <c r="T44" s="5" t="s">
        <v>2</v>
      </c>
      <c r="U44" s="5" t="s">
        <v>42</v>
      </c>
      <c r="V44" s="7" t="s">
        <v>12</v>
      </c>
      <c r="W44" s="7" t="s">
        <v>12</v>
      </c>
      <c r="X44" s="7" t="s">
        <v>12</v>
      </c>
      <c r="Y44" s="7" t="s">
        <v>12</v>
      </c>
      <c r="Z44" s="7" t="s">
        <v>12</v>
      </c>
      <c r="AA44" s="7" t="s">
        <v>47</v>
      </c>
      <c r="AB44" s="7" t="s">
        <v>49</v>
      </c>
    </row>
    <row r="45" spans="2:28" x14ac:dyDescent="0.25">
      <c r="B45" s="2">
        <f>I27</f>
        <v>0.98899999999999999</v>
      </c>
      <c r="C45" s="2">
        <f>J27</f>
        <v>26.32</v>
      </c>
      <c r="D45" s="2">
        <f>P27</f>
        <v>0.10887216252911772</v>
      </c>
      <c r="E45" s="2">
        <f>M27</f>
        <v>6.9043746788761018</v>
      </c>
      <c r="F45" s="19">
        <f>L27</f>
        <v>3.8148296251483511E-3</v>
      </c>
      <c r="G45" s="19">
        <f>N27</f>
        <v>3.2027843574506999E-3</v>
      </c>
      <c r="H45" s="19">
        <f>G45*$H$16</f>
        <v>3.7152298546428114E-3</v>
      </c>
      <c r="I45" s="19">
        <f>F45-H45</f>
        <v>9.9599770505539708E-5</v>
      </c>
      <c r="K45" s="2">
        <f>D45</f>
        <v>0.10887216252911772</v>
      </c>
      <c r="L45" s="2">
        <f>B45*$I$6/$H$19</f>
        <v>7.3104465569579817</v>
      </c>
      <c r="M45" s="19">
        <f>0.075/(LOG10(L45*1000000)-2)^2</f>
        <v>3.1701816499906535E-3</v>
      </c>
      <c r="N45" s="19">
        <f>M45*$H$16</f>
        <v>3.677410713989158E-3</v>
      </c>
      <c r="O45" s="19">
        <f>I45</f>
        <v>9.9599770505539708E-5</v>
      </c>
      <c r="P45" s="19">
        <f>N45+O45</f>
        <v>3.7770104844946977E-3</v>
      </c>
      <c r="Q45" s="2">
        <f>P45*0.5*$H$17*$I$13*B45^2</f>
        <v>26.035685562776028</v>
      </c>
      <c r="S45" s="2">
        <f>K27</f>
        <v>9.0179261012157319</v>
      </c>
      <c r="T45" s="2">
        <f>K45</f>
        <v>0.10887216252911772</v>
      </c>
      <c r="U45" s="2">
        <f>0.5144*S45*$H$3*$I$5/$H$20/100</f>
        <v>7.0214246011080297</v>
      </c>
      <c r="V45" s="19">
        <f>0.075/(LOG10(U45*100000000)-2)^2</f>
        <v>1.6000498867372794E-3</v>
      </c>
      <c r="W45" s="19">
        <f>V45*$H$16</f>
        <v>1.8560578686152439E-3</v>
      </c>
      <c r="X45" s="19">
        <f>(105*(($H$21/1000000)/($I$6*$H$3))^0.3333333-0.64)/1000</f>
        <v>3.389993478863864E-4</v>
      </c>
      <c r="Y45" s="19">
        <f>O45</f>
        <v>9.9599770505539708E-5</v>
      </c>
      <c r="Z45" s="19">
        <f>$H$23*(W45+X45)+Y45</f>
        <v>2.29465698700717E-3</v>
      </c>
      <c r="AA45" s="13">
        <f>Z45*0.5*$H$18*($I$13*$H$3^2)*(S45*0.5144)^2/1000</f>
        <v>172.79072271643881</v>
      </c>
      <c r="AB45" s="12">
        <f>AA45*(S45*0.5144)</f>
        <v>801.54526536167975</v>
      </c>
    </row>
    <row r="46" spans="2:28" x14ac:dyDescent="0.25">
      <c r="B46" s="2">
        <f t="shared" ref="B46:B54" si="7">I28</f>
        <v>1.2070000000000001</v>
      </c>
      <c r="C46" s="2">
        <f t="shared" ref="C46:C54" si="8">J28</f>
        <v>39.74</v>
      </c>
      <c r="D46" s="2">
        <f t="shared" ref="D46:D54" si="9">P28</f>
        <v>0.13287027317759867</v>
      </c>
      <c r="E46" s="2">
        <f t="shared" ref="E46:E54" si="10">M28</f>
        <v>8.4262691985879226</v>
      </c>
      <c r="F46" s="19">
        <f t="shared" ref="F46:F54" si="11">L28</f>
        <v>3.8671869493359531E-3</v>
      </c>
      <c r="G46" s="19">
        <f t="shared" ref="G46:G54" si="12">N28</f>
        <v>3.0912686686862048E-3</v>
      </c>
      <c r="H46" s="19">
        <f t="shared" ref="H46:H54" si="13">G46*$H$16</f>
        <v>3.5858716556759975E-3</v>
      </c>
      <c r="I46" s="19">
        <f t="shared" ref="I46:I54" si="14">F46-H46</f>
        <v>2.8131529365995559E-4</v>
      </c>
      <c r="K46" s="2">
        <f t="shared" ref="K46:K54" si="15">D46</f>
        <v>0.13287027317759867</v>
      </c>
      <c r="L46" s="2">
        <f t="shared" ref="L46:L54" si="16">B46*$I$6/$H$19</f>
        <v>8.9218493369547858</v>
      </c>
      <c r="M46" s="19">
        <f t="shared" ref="M46:M54" si="17">0.075/(LOG10(L46*1000000)-2)^2</f>
        <v>3.0603496583811E-3</v>
      </c>
      <c r="N46" s="19">
        <f t="shared" ref="N46:N54" si="18">M46*$H$16</f>
        <v>3.550005603722076E-3</v>
      </c>
      <c r="O46" s="19">
        <f t="shared" ref="O46:O54" si="19">I46</f>
        <v>2.8131529365995559E-4</v>
      </c>
      <c r="P46" s="19">
        <f t="shared" ref="P46:P54" si="20">N46+O46</f>
        <v>3.8313208973820316E-3</v>
      </c>
      <c r="Q46" s="2">
        <f t="shared" ref="Q46:Q54" si="21">P46*0.5*$H$17*$I$13*B46^2</f>
        <v>39.336101227862187</v>
      </c>
      <c r="S46" s="2">
        <f t="shared" ref="S46:S54" si="22">K28</f>
        <v>11.005699498652566</v>
      </c>
      <c r="T46" s="2">
        <f t="shared" ref="T46:T54" si="23">K46</f>
        <v>0.13287027317759867</v>
      </c>
      <c r="U46" s="2">
        <f t="shared" ref="U46:U54" si="24">0.5144*S46*$H$3*$I$5/$H$20/100</f>
        <v>8.5691198114634908</v>
      </c>
      <c r="V46" s="19">
        <f t="shared" ref="V46:V54" si="25">0.075/(LOG10(U46*100000000)-2)^2</f>
        <v>1.5603673496441314E-3</v>
      </c>
      <c r="W46" s="19">
        <f t="shared" ref="W46:W54" si="26">V46*$H$16</f>
        <v>1.8100261255871923E-3</v>
      </c>
      <c r="X46" s="19">
        <f t="shared" ref="X46:X54" si="27">(105*(($H$21/1000000)/($I$6*$H$3))^0.3333333-0.64)/1000</f>
        <v>3.389993478863864E-4</v>
      </c>
      <c r="Y46" s="19">
        <f t="shared" ref="Y46:Y54" si="28">O46</f>
        <v>2.8131529365995559E-4</v>
      </c>
      <c r="Z46" s="19">
        <f t="shared" ref="Z46:Z54" si="29">$H$23*(W46+X46)+Y46</f>
        <v>2.4303407671335342E-3</v>
      </c>
      <c r="AA46" s="13">
        <f t="shared" ref="AA46:AA54" si="30">Z46*0.5*$H$18*($I$13*$H$3^2)*(S46*0.5144)^2/1000</f>
        <v>272.57861160676214</v>
      </c>
      <c r="AB46" s="12">
        <f t="shared" ref="AB46:AB54" si="31">AA46*(S46*0.5144)</f>
        <v>1543.1579679150743</v>
      </c>
    </row>
    <row r="47" spans="2:28" x14ac:dyDescent="0.25">
      <c r="B47" s="2">
        <f t="shared" si="7"/>
        <v>1.427</v>
      </c>
      <c r="C47" s="2">
        <f t="shared" si="8"/>
        <v>55.39</v>
      </c>
      <c r="D47" s="2">
        <f t="shared" si="9"/>
        <v>0.15708854997881799</v>
      </c>
      <c r="E47" s="2">
        <f t="shared" si="10"/>
        <v>9.9621260533429705</v>
      </c>
      <c r="F47" s="19">
        <f t="shared" si="11"/>
        <v>3.856250731709233E-3</v>
      </c>
      <c r="G47" s="19">
        <f t="shared" si="12"/>
        <v>3.0019785389114231E-3</v>
      </c>
      <c r="H47" s="19">
        <f t="shared" si="13"/>
        <v>3.4822951051372503E-3</v>
      </c>
      <c r="I47" s="19">
        <f t="shared" si="14"/>
        <v>3.739556265719827E-4</v>
      </c>
      <c r="K47" s="2">
        <f t="shared" si="15"/>
        <v>0.15708854997881799</v>
      </c>
      <c r="L47" s="2">
        <f t="shared" si="16"/>
        <v>10.548035628694681</v>
      </c>
      <c r="M47" s="19">
        <f t="shared" si="17"/>
        <v>2.9723861989311325E-3</v>
      </c>
      <c r="N47" s="19">
        <f t="shared" si="18"/>
        <v>3.4479679907601134E-3</v>
      </c>
      <c r="O47" s="19">
        <f t="shared" si="19"/>
        <v>3.739556265719827E-4</v>
      </c>
      <c r="P47" s="19">
        <f t="shared" si="20"/>
        <v>3.8219236173320961E-3</v>
      </c>
      <c r="Q47" s="2">
        <f t="shared" si="21"/>
        <v>54.847671371860606</v>
      </c>
      <c r="S47" s="2">
        <f t="shared" si="22"/>
        <v>13.011709349276895</v>
      </c>
      <c r="T47" s="2">
        <f t="shared" si="23"/>
        <v>0.15708854997881799</v>
      </c>
      <c r="U47" s="2">
        <f t="shared" si="24"/>
        <v>10.131014060446065</v>
      </c>
      <c r="V47" s="19">
        <f t="shared" si="25"/>
        <v>1.5281431146392053E-3</v>
      </c>
      <c r="W47" s="19">
        <f t="shared" si="26"/>
        <v>1.772646012981478E-3</v>
      </c>
      <c r="X47" s="19">
        <f t="shared" si="27"/>
        <v>3.389993478863864E-4</v>
      </c>
      <c r="Y47" s="19">
        <f t="shared" si="28"/>
        <v>3.739556265719827E-4</v>
      </c>
      <c r="Z47" s="19">
        <f t="shared" si="29"/>
        <v>2.485600987439847E-3</v>
      </c>
      <c r="AA47" s="13">
        <f t="shared" si="30"/>
        <v>389.66322626309847</v>
      </c>
      <c r="AB47" s="12">
        <f t="shared" si="31"/>
        <v>2608.1029809954903</v>
      </c>
    </row>
    <row r="48" spans="2:28" x14ac:dyDescent="0.25">
      <c r="B48" s="2">
        <f t="shared" si="7"/>
        <v>1.591</v>
      </c>
      <c r="C48" s="2">
        <f t="shared" si="8"/>
        <v>69.09</v>
      </c>
      <c r="D48" s="2">
        <f t="shared" si="9"/>
        <v>0.17514217450336328</v>
      </c>
      <c r="E48" s="2">
        <f t="shared" si="10"/>
        <v>11.107037526887643</v>
      </c>
      <c r="F48" s="19">
        <f t="shared" si="11"/>
        <v>3.8695162806586048E-3</v>
      </c>
      <c r="G48" s="19">
        <f t="shared" si="12"/>
        <v>2.9460216258255126E-3</v>
      </c>
      <c r="H48" s="19">
        <f t="shared" si="13"/>
        <v>3.4173850859575941E-3</v>
      </c>
      <c r="I48" s="19">
        <f t="shared" si="14"/>
        <v>4.5213119470101067E-4</v>
      </c>
      <c r="K48" s="2">
        <f t="shared" si="15"/>
        <v>0.17514217450336328</v>
      </c>
      <c r="L48" s="2">
        <f t="shared" si="16"/>
        <v>11.760283591628058</v>
      </c>
      <c r="M48" s="19">
        <f t="shared" si="17"/>
        <v>2.9172508253615475E-3</v>
      </c>
      <c r="N48" s="19">
        <f t="shared" si="18"/>
        <v>3.3840109574193949E-3</v>
      </c>
      <c r="O48" s="19">
        <f t="shared" si="19"/>
        <v>4.5213119470101067E-4</v>
      </c>
      <c r="P48" s="19">
        <f t="shared" si="20"/>
        <v>3.8361421521204055E-3</v>
      </c>
      <c r="Q48" s="2">
        <f t="shared" si="21"/>
        <v>68.432640162280734</v>
      </c>
      <c r="S48" s="2">
        <f t="shared" si="22"/>
        <v>14.507098510651392</v>
      </c>
      <c r="T48" s="2">
        <f t="shared" si="23"/>
        <v>0.17514217450336328</v>
      </c>
      <c r="U48" s="2">
        <f t="shared" si="24"/>
        <v>11.295335227869439</v>
      </c>
      <c r="V48" s="19">
        <f t="shared" si="25"/>
        <v>1.5077381323870735E-3</v>
      </c>
      <c r="W48" s="19">
        <f t="shared" si="26"/>
        <v>1.7489762335690052E-3</v>
      </c>
      <c r="X48" s="19">
        <f t="shared" si="27"/>
        <v>3.389993478863864E-4</v>
      </c>
      <c r="Y48" s="19">
        <f t="shared" si="28"/>
        <v>4.5213119470101067E-4</v>
      </c>
      <c r="Z48" s="19">
        <f t="shared" si="29"/>
        <v>2.5401067761564025E-3</v>
      </c>
      <c r="AA48" s="13">
        <f t="shared" si="30"/>
        <v>494.99680452161601</v>
      </c>
      <c r="AB48" s="12">
        <f t="shared" si="31"/>
        <v>3693.8896334677665</v>
      </c>
    </row>
    <row r="49" spans="2:28" x14ac:dyDescent="0.25">
      <c r="B49" s="2">
        <f t="shared" si="7"/>
        <v>1.756</v>
      </c>
      <c r="C49" s="2">
        <f t="shared" si="8"/>
        <v>81.849999999999994</v>
      </c>
      <c r="D49" s="2">
        <f t="shared" si="9"/>
        <v>0.19330588210427777</v>
      </c>
      <c r="E49" s="2">
        <f t="shared" si="10"/>
        <v>12.258930167953929</v>
      </c>
      <c r="F49" s="19">
        <f t="shared" si="11"/>
        <v>3.7631497897314286E-3</v>
      </c>
      <c r="G49" s="19">
        <f t="shared" si="12"/>
        <v>2.8966085059714715E-3</v>
      </c>
      <c r="H49" s="19">
        <f t="shared" si="13"/>
        <v>3.3600658669269068E-3</v>
      </c>
      <c r="I49" s="19">
        <f t="shared" si="14"/>
        <v>4.0308392280452186E-4</v>
      </c>
      <c r="K49" s="2">
        <f t="shared" si="15"/>
        <v>0.19330588210427777</v>
      </c>
      <c r="L49" s="2">
        <f t="shared" si="16"/>
        <v>12.979923310432978</v>
      </c>
      <c r="M49" s="19">
        <f t="shared" si="17"/>
        <v>2.8685567801131858E-3</v>
      </c>
      <c r="N49" s="19">
        <f t="shared" si="18"/>
        <v>3.3275258649312954E-3</v>
      </c>
      <c r="O49" s="19">
        <f t="shared" si="19"/>
        <v>4.0308392280452186E-4</v>
      </c>
      <c r="P49" s="19">
        <f t="shared" si="20"/>
        <v>3.7306097877358173E-3</v>
      </c>
      <c r="Q49" s="2">
        <f t="shared" si="21"/>
        <v>81.069425006599303</v>
      </c>
      <c r="S49" s="2">
        <f t="shared" si="22"/>
        <v>16.011605898619639</v>
      </c>
      <c r="T49" s="2">
        <f t="shared" si="23"/>
        <v>0.19330588210427777</v>
      </c>
      <c r="U49" s="2">
        <f t="shared" si="24"/>
        <v>12.46675591460637</v>
      </c>
      <c r="V49" s="19">
        <f t="shared" si="25"/>
        <v>1.4895813580633323E-3</v>
      </c>
      <c r="W49" s="19">
        <f t="shared" si="26"/>
        <v>1.7279143753534652E-3</v>
      </c>
      <c r="X49" s="19">
        <f t="shared" si="27"/>
        <v>3.389993478863864E-4</v>
      </c>
      <c r="Y49" s="19">
        <f t="shared" si="28"/>
        <v>4.0308392280452186E-4</v>
      </c>
      <c r="Z49" s="19">
        <f t="shared" si="29"/>
        <v>2.4699976460443736E-3</v>
      </c>
      <c r="AA49" s="13">
        <f t="shared" si="30"/>
        <v>586.34823946370807</v>
      </c>
      <c r="AB49" s="12">
        <f t="shared" si="31"/>
        <v>4829.3810926080241</v>
      </c>
    </row>
    <row r="50" spans="2:28" x14ac:dyDescent="0.25">
      <c r="B50" s="2">
        <f t="shared" si="7"/>
        <v>1.92</v>
      </c>
      <c r="C50" s="2">
        <f t="shared" si="8"/>
        <v>95.23</v>
      </c>
      <c r="D50" s="2">
        <f t="shared" si="9"/>
        <v>0.21135950662882308</v>
      </c>
      <c r="E50" s="2">
        <f t="shared" si="10"/>
        <v>13.4038416414986</v>
      </c>
      <c r="F50" s="19">
        <f t="shared" si="11"/>
        <v>3.6622937160303982E-3</v>
      </c>
      <c r="G50" s="19">
        <f t="shared" si="12"/>
        <v>2.8529606695584784E-3</v>
      </c>
      <c r="H50" s="19">
        <f t="shared" si="13"/>
        <v>3.3094343766878346E-3</v>
      </c>
      <c r="I50" s="19">
        <f t="shared" si="14"/>
        <v>3.5285933934256367E-4</v>
      </c>
      <c r="K50" s="2">
        <f t="shared" si="15"/>
        <v>0.21135950662882308</v>
      </c>
      <c r="L50" s="2">
        <f t="shared" si="16"/>
        <v>14.192171273366354</v>
      </c>
      <c r="M50" s="19">
        <f t="shared" si="17"/>
        <v>2.8255390907482012E-3</v>
      </c>
      <c r="N50" s="19">
        <f t="shared" si="18"/>
        <v>3.2776253452679134E-3</v>
      </c>
      <c r="O50" s="19">
        <f t="shared" si="19"/>
        <v>3.5285933934256367E-4</v>
      </c>
      <c r="P50" s="19">
        <f t="shared" si="20"/>
        <v>3.630484684610477E-3</v>
      </c>
      <c r="Q50" s="2">
        <f t="shared" si="21"/>
        <v>94.318158031230865</v>
      </c>
      <c r="S50" s="2">
        <f t="shared" si="22"/>
        <v>17.506995059994139</v>
      </c>
      <c r="T50" s="2">
        <f t="shared" si="23"/>
        <v>0.21135950662882308</v>
      </c>
      <c r="U50" s="2">
        <f t="shared" si="24"/>
        <v>13.631077082029744</v>
      </c>
      <c r="V50" s="19">
        <f t="shared" si="25"/>
        <v>1.47343338317596E-3</v>
      </c>
      <c r="W50" s="19">
        <f t="shared" si="26"/>
        <v>1.7091827244841136E-3</v>
      </c>
      <c r="X50" s="19">
        <f t="shared" si="27"/>
        <v>3.389993478863864E-4</v>
      </c>
      <c r="Y50" s="19">
        <f t="shared" si="28"/>
        <v>3.5285933934256367E-4</v>
      </c>
      <c r="Z50" s="19">
        <f t="shared" si="29"/>
        <v>2.4010414117130638E-3</v>
      </c>
      <c r="AA50" s="13">
        <f t="shared" si="30"/>
        <v>681.41575548414608</v>
      </c>
      <c r="AB50" s="12">
        <f t="shared" si="31"/>
        <v>6136.5565411484686</v>
      </c>
    </row>
    <row r="51" spans="2:28" x14ac:dyDescent="0.25">
      <c r="B51" s="2">
        <f t="shared" si="7"/>
        <v>2.0840000000000001</v>
      </c>
      <c r="C51" s="2">
        <f t="shared" si="8"/>
        <v>111.14</v>
      </c>
      <c r="D51" s="2">
        <f t="shared" si="9"/>
        <v>0.22941313115336839</v>
      </c>
      <c r="E51" s="2">
        <f t="shared" si="10"/>
        <v>14.548753115043274</v>
      </c>
      <c r="F51" s="19">
        <f t="shared" si="11"/>
        <v>3.6279125342513637E-3</v>
      </c>
      <c r="G51" s="19">
        <f t="shared" si="12"/>
        <v>2.8137552892610615E-3</v>
      </c>
      <c r="H51" s="19">
        <f t="shared" si="13"/>
        <v>3.263956135542831E-3</v>
      </c>
      <c r="I51" s="19">
        <f t="shared" si="14"/>
        <v>3.6395639870853268E-4</v>
      </c>
      <c r="K51" s="2">
        <f t="shared" si="15"/>
        <v>0.22941313115336839</v>
      </c>
      <c r="L51" s="2">
        <f t="shared" si="16"/>
        <v>15.404419236299731</v>
      </c>
      <c r="M51" s="19">
        <f t="shared" si="17"/>
        <v>2.7868956678965997E-3</v>
      </c>
      <c r="N51" s="19">
        <f t="shared" si="18"/>
        <v>3.2327989747600555E-3</v>
      </c>
      <c r="O51" s="19">
        <f t="shared" si="19"/>
        <v>3.6395639870853268E-4</v>
      </c>
      <c r="P51" s="19">
        <f t="shared" si="20"/>
        <v>3.5967553734685882E-3</v>
      </c>
      <c r="Q51" s="2">
        <f t="shared" si="21"/>
        <v>110.08662935407479</v>
      </c>
      <c r="S51" s="2">
        <f t="shared" si="22"/>
        <v>19.00238422136864</v>
      </c>
      <c r="T51" s="2">
        <f t="shared" si="23"/>
        <v>0.22941313115336839</v>
      </c>
      <c r="U51" s="2">
        <f t="shared" si="24"/>
        <v>14.79539824945312</v>
      </c>
      <c r="V51" s="19">
        <f t="shared" si="25"/>
        <v>1.4588398173778633E-3</v>
      </c>
      <c r="W51" s="19">
        <f t="shared" si="26"/>
        <v>1.6922541881583212E-3</v>
      </c>
      <c r="X51" s="19">
        <f t="shared" si="27"/>
        <v>3.389993478863864E-4</v>
      </c>
      <c r="Y51" s="19">
        <f t="shared" si="28"/>
        <v>3.6395639870853268E-4</v>
      </c>
      <c r="Z51" s="19">
        <f t="shared" si="29"/>
        <v>2.3952099347532402E-3</v>
      </c>
      <c r="AA51" s="13">
        <f t="shared" si="30"/>
        <v>800.84612144444372</v>
      </c>
      <c r="AB51" s="12">
        <f t="shared" si="31"/>
        <v>7828.1318450471599</v>
      </c>
    </row>
    <row r="52" spans="2:28" x14ac:dyDescent="0.25">
      <c r="B52" s="2">
        <f t="shared" si="7"/>
        <v>2.2490000000000001</v>
      </c>
      <c r="C52" s="2">
        <f t="shared" si="8"/>
        <v>129.74</v>
      </c>
      <c r="D52" s="2">
        <f t="shared" si="9"/>
        <v>0.24757683875428288</v>
      </c>
      <c r="E52" s="2">
        <f t="shared" si="10"/>
        <v>15.700645756109559</v>
      </c>
      <c r="F52" s="19">
        <f t="shared" si="11"/>
        <v>3.6364433604274982E-3</v>
      </c>
      <c r="G52" s="19">
        <f t="shared" si="12"/>
        <v>2.7780289504256233E-3</v>
      </c>
      <c r="H52" s="19">
        <f t="shared" si="13"/>
        <v>3.2225135824937227E-3</v>
      </c>
      <c r="I52" s="19">
        <f t="shared" si="14"/>
        <v>4.139297779337755E-4</v>
      </c>
      <c r="K52" s="2">
        <f t="shared" si="15"/>
        <v>0.24757683875428288</v>
      </c>
      <c r="L52" s="2">
        <f t="shared" si="16"/>
        <v>16.624058955104651</v>
      </c>
      <c r="M52" s="19">
        <f t="shared" si="17"/>
        <v>2.751678054552076E-3</v>
      </c>
      <c r="N52" s="19">
        <f t="shared" si="18"/>
        <v>3.1919465432804078E-3</v>
      </c>
      <c r="O52" s="19">
        <f t="shared" si="19"/>
        <v>4.139297779337755E-4</v>
      </c>
      <c r="P52" s="19">
        <f t="shared" si="20"/>
        <v>3.6058763212141833E-3</v>
      </c>
      <c r="Q52" s="2">
        <f t="shared" si="21"/>
        <v>128.53398779555897</v>
      </c>
      <c r="S52" s="2">
        <f t="shared" si="22"/>
        <v>20.506891609336886</v>
      </c>
      <c r="T52" s="2">
        <f t="shared" si="23"/>
        <v>0.24757683875428288</v>
      </c>
      <c r="U52" s="2">
        <f t="shared" si="24"/>
        <v>15.96681893619005</v>
      </c>
      <c r="V52" s="19">
        <f t="shared" si="25"/>
        <v>1.4454667230240506E-3</v>
      </c>
      <c r="W52" s="19">
        <f t="shared" si="26"/>
        <v>1.6767413987078985E-3</v>
      </c>
      <c r="X52" s="19">
        <f t="shared" si="27"/>
        <v>3.389993478863864E-4</v>
      </c>
      <c r="Y52" s="19">
        <f t="shared" si="28"/>
        <v>4.139297779337755E-4</v>
      </c>
      <c r="Z52" s="19">
        <f t="shared" si="29"/>
        <v>2.4296705245280604E-3</v>
      </c>
      <c r="AA52" s="13">
        <f t="shared" si="30"/>
        <v>946.09851094449516</v>
      </c>
      <c r="AB52" s="12">
        <f t="shared" si="31"/>
        <v>9980.1519783128861</v>
      </c>
    </row>
    <row r="53" spans="2:28" x14ac:dyDescent="0.25">
      <c r="B53" s="2">
        <f t="shared" si="7"/>
        <v>2.4140000000000001</v>
      </c>
      <c r="C53" s="2">
        <f t="shared" si="8"/>
        <v>155.6</v>
      </c>
      <c r="D53" s="2">
        <f t="shared" si="9"/>
        <v>0.26574054635519734</v>
      </c>
      <c r="E53" s="2">
        <f t="shared" si="10"/>
        <v>16.852538397175845</v>
      </c>
      <c r="F53" s="19">
        <f t="shared" si="11"/>
        <v>3.7854446987712269E-3</v>
      </c>
      <c r="G53" s="19">
        <f t="shared" si="12"/>
        <v>2.7454395078640851E-3</v>
      </c>
      <c r="H53" s="19">
        <f t="shared" si="13"/>
        <v>3.1847098291223385E-3</v>
      </c>
      <c r="I53" s="19">
        <f t="shared" si="14"/>
        <v>6.007348696488884E-4</v>
      </c>
      <c r="K53" s="2">
        <f t="shared" si="15"/>
        <v>0.26574054635519734</v>
      </c>
      <c r="L53" s="2">
        <f t="shared" si="16"/>
        <v>17.843698673909572</v>
      </c>
      <c r="M53" s="19">
        <f t="shared" si="17"/>
        <v>2.7195498532053804E-3</v>
      </c>
      <c r="N53" s="19">
        <f t="shared" si="18"/>
        <v>3.154677829718241E-3</v>
      </c>
      <c r="O53" s="19">
        <f t="shared" si="19"/>
        <v>6.007348696488884E-4</v>
      </c>
      <c r="P53" s="19">
        <f t="shared" si="20"/>
        <v>3.7554126993671294E-3</v>
      </c>
      <c r="Q53" s="2">
        <f t="shared" si="21"/>
        <v>154.22701261660953</v>
      </c>
      <c r="S53" s="2">
        <f t="shared" si="22"/>
        <v>22.011398997305132</v>
      </c>
      <c r="T53" s="2">
        <f t="shared" si="23"/>
        <v>0.26574054635519734</v>
      </c>
      <c r="U53" s="2">
        <f t="shared" si="24"/>
        <v>17.138239622926982</v>
      </c>
      <c r="V53" s="19">
        <f t="shared" si="25"/>
        <v>1.4332049901823612E-3</v>
      </c>
      <c r="W53" s="19">
        <f t="shared" si="26"/>
        <v>1.662517788611539E-3</v>
      </c>
      <c r="X53" s="19">
        <f t="shared" si="27"/>
        <v>3.389993478863864E-4</v>
      </c>
      <c r="Y53" s="19">
        <f t="shared" si="28"/>
        <v>6.007348696488884E-4</v>
      </c>
      <c r="Z53" s="19">
        <f t="shared" si="29"/>
        <v>2.6022520061468137E-3</v>
      </c>
      <c r="AA53" s="13">
        <f t="shared" si="30"/>
        <v>1167.4383254871957</v>
      </c>
      <c r="AB53" s="12">
        <f t="shared" si="31"/>
        <v>13218.51148485566</v>
      </c>
    </row>
    <row r="54" spans="2:28" x14ac:dyDescent="0.25">
      <c r="B54" s="2">
        <f t="shared" si="7"/>
        <v>2.5230000000000001</v>
      </c>
      <c r="C54" s="2">
        <f t="shared" si="8"/>
        <v>179.02</v>
      </c>
      <c r="D54" s="2">
        <f t="shared" si="9"/>
        <v>0.27773960167943784</v>
      </c>
      <c r="E54" s="2">
        <f t="shared" si="10"/>
        <v>17.613485657031756</v>
      </c>
      <c r="F54" s="19">
        <f t="shared" si="11"/>
        <v>3.9870244287746118E-3</v>
      </c>
      <c r="G54" s="19">
        <f t="shared" si="12"/>
        <v>2.7254003259890888E-3</v>
      </c>
      <c r="H54" s="19">
        <f t="shared" si="13"/>
        <v>3.161464378147343E-3</v>
      </c>
      <c r="I54" s="19">
        <f t="shared" si="14"/>
        <v>8.2556005062726879E-4</v>
      </c>
      <c r="K54" s="2">
        <f t="shared" si="15"/>
        <v>0.27773960167943784</v>
      </c>
      <c r="L54" s="2">
        <f t="shared" si="16"/>
        <v>18.649400063907976</v>
      </c>
      <c r="M54" s="19">
        <f t="shared" si="17"/>
        <v>2.69979294621925E-3</v>
      </c>
      <c r="N54" s="19">
        <f t="shared" si="18"/>
        <v>3.13175981761433E-3</v>
      </c>
      <c r="O54" s="19">
        <f t="shared" si="19"/>
        <v>8.2556005062726879E-4</v>
      </c>
      <c r="P54" s="19">
        <f t="shared" si="20"/>
        <v>3.9573198682415992E-3</v>
      </c>
      <c r="Q54" s="2">
        <f t="shared" si="21"/>
        <v>177.52679020079802</v>
      </c>
      <c r="S54" s="2">
        <f t="shared" si="22"/>
        <v>23.005285696023549</v>
      </c>
      <c r="T54" s="2">
        <f t="shared" si="23"/>
        <v>0.27773960167943784</v>
      </c>
      <c r="U54" s="2">
        <f t="shared" si="24"/>
        <v>17.912087228104713</v>
      </c>
      <c r="V54" s="19">
        <f t="shared" si="25"/>
        <v>1.4256351704620826E-3</v>
      </c>
      <c r="W54" s="19">
        <f t="shared" si="26"/>
        <v>1.6537367977360158E-3</v>
      </c>
      <c r="X54" s="19">
        <f t="shared" si="27"/>
        <v>3.389993478863864E-4</v>
      </c>
      <c r="Y54" s="19">
        <f t="shared" si="28"/>
        <v>8.2556005062726879E-4</v>
      </c>
      <c r="Z54" s="19">
        <f t="shared" si="29"/>
        <v>2.8182961962496711E-3</v>
      </c>
      <c r="AA54" s="13">
        <f t="shared" si="30"/>
        <v>1381.1193136917072</v>
      </c>
      <c r="AB54" s="12">
        <f t="shared" si="31"/>
        <v>16344.054035128387</v>
      </c>
    </row>
  </sheetData>
  <mergeCells count="21">
    <mergeCell ref="A3:F3"/>
    <mergeCell ref="A4:F4"/>
    <mergeCell ref="A5:F5"/>
    <mergeCell ref="A6:F6"/>
    <mergeCell ref="A7:F7"/>
    <mergeCell ref="A20:F20"/>
    <mergeCell ref="A21:F21"/>
    <mergeCell ref="A22:F22"/>
    <mergeCell ref="A23:F23"/>
    <mergeCell ref="A8:F8"/>
    <mergeCell ref="A16:F16"/>
    <mergeCell ref="A17:F17"/>
    <mergeCell ref="A18:F18"/>
    <mergeCell ref="A19:F19"/>
    <mergeCell ref="A15:F15"/>
    <mergeCell ref="A9:F9"/>
    <mergeCell ref="A10:F10"/>
    <mergeCell ref="A11:F11"/>
    <mergeCell ref="A12:F12"/>
    <mergeCell ref="A13:F13"/>
    <mergeCell ref="A14:F14"/>
  </mergeCells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Equation.DSMT4" shapeId="3073" r:id="rId4">
          <objectPr defaultSize="0" autoPict="0" r:id="rId5">
            <anchor moveWithCells="1" sizeWithCells="1">
              <from>
                <xdr:col>8</xdr:col>
                <xdr:colOff>400050</xdr:colOff>
                <xdr:row>20</xdr:row>
                <xdr:rowOff>190500</xdr:rowOff>
              </from>
              <to>
                <xdr:col>18</xdr:col>
                <xdr:colOff>57150</xdr:colOff>
                <xdr:row>22</xdr:row>
                <xdr:rowOff>180975</xdr:rowOff>
              </to>
            </anchor>
          </objectPr>
        </oleObject>
      </mc:Choice>
      <mc:Fallback>
        <oleObject progId="Equation.DSMT4" shapeId="3073" r:id="rId4"/>
      </mc:Fallback>
    </mc:AlternateContent>
    <mc:AlternateContent xmlns:mc="http://schemas.openxmlformats.org/markup-compatibility/2006">
      <mc:Choice Requires="x14">
        <oleObject progId="Equation.DSMT4" shapeId="3074" r:id="rId6">
          <objectPr defaultSize="0" autoPict="0" r:id="rId7">
            <anchor moveWithCells="1" sizeWithCells="1">
              <from>
                <xdr:col>8</xdr:col>
                <xdr:colOff>238125</xdr:colOff>
                <xdr:row>15</xdr:row>
                <xdr:rowOff>9525</xdr:rowOff>
              </from>
              <to>
                <xdr:col>20</xdr:col>
                <xdr:colOff>38100</xdr:colOff>
                <xdr:row>19</xdr:row>
                <xdr:rowOff>152400</xdr:rowOff>
              </to>
            </anchor>
          </objectPr>
        </oleObject>
      </mc:Choice>
      <mc:Fallback>
        <oleObject progId="Equation.DSMT4" shapeId="3074" r:id="rId6"/>
      </mc:Fallback>
    </mc:AlternateContent>
    <mc:AlternateContent xmlns:mc="http://schemas.openxmlformats.org/markup-compatibility/2006">
      <mc:Choice Requires="x14">
        <oleObject progId="Equation.DSMT4" shapeId="3075" r:id="rId8">
          <objectPr defaultSize="0" autoPict="0" r:id="rId9">
            <anchor moveWithCells="1" sizeWithCells="1">
              <from>
                <xdr:col>11</xdr:col>
                <xdr:colOff>9525</xdr:colOff>
                <xdr:row>9</xdr:row>
                <xdr:rowOff>152400</xdr:rowOff>
              </from>
              <to>
                <xdr:col>20</xdr:col>
                <xdr:colOff>238125</xdr:colOff>
                <xdr:row>13</xdr:row>
                <xdr:rowOff>180975</xdr:rowOff>
              </to>
            </anchor>
          </objectPr>
        </oleObject>
      </mc:Choice>
      <mc:Fallback>
        <oleObject progId="Equation.DSMT4" shapeId="3075" r:id="rId8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FormFactor</vt:lpstr>
      <vt:lpstr>ITTC1978 PPM</vt:lpstr>
      <vt:lpstr>Quest-2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 Can TAKİNACI</dc:creator>
  <cp:lastModifiedBy>Ali Takinaci</cp:lastModifiedBy>
  <dcterms:created xsi:type="dcterms:W3CDTF">2019-10-08T06:04:38Z</dcterms:created>
  <dcterms:modified xsi:type="dcterms:W3CDTF">2019-10-11T07:29:54Z</dcterms:modified>
</cp:coreProperties>
</file>